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0.08.20" sheetId="1" r:id="rId1"/>
  </sheets>
  <definedNames>
    <definedName name="_xlnm.Print_Area" localSheetId="0">'10.08.20'!$A$3:$U$78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3" i="1"/>
  <c r="N42"/>
  <c r="N41"/>
  <c r="N40"/>
  <c r="N39"/>
  <c r="N38"/>
  <c r="N30"/>
  <c r="N27"/>
  <c r="N26"/>
  <c r="N25"/>
  <c r="N21"/>
  <c r="N20"/>
  <c r="N16"/>
  <c r="P41" l="1"/>
  <c r="P40"/>
  <c r="P39"/>
  <c r="P38"/>
  <c r="P37"/>
  <c r="Q8" l="1"/>
  <c r="Q65"/>
  <c r="Q62"/>
  <c r="Q60"/>
  <c r="Q44"/>
  <c r="Q43"/>
  <c r="Q42"/>
  <c r="Q41"/>
  <c r="Q40"/>
  <c r="Q39"/>
  <c r="Q38"/>
  <c r="Q37"/>
  <c r="Q36"/>
  <c r="Q33"/>
  <c r="Q31"/>
  <c r="Q30"/>
  <c r="Q28"/>
  <c r="Q27"/>
  <c r="Q26"/>
  <c r="Q25"/>
  <c r="Q24"/>
  <c r="Q23"/>
  <c r="Q21"/>
  <c r="Q20"/>
  <c r="Q17"/>
  <c r="Q16"/>
  <c r="Q14"/>
  <c r="Q13"/>
  <c r="Q12"/>
  <c r="Q11"/>
  <c r="Q10"/>
  <c r="Q9"/>
  <c r="P17" l="1"/>
  <c r="P62"/>
  <c r="P60"/>
  <c r="P44"/>
  <c r="P43"/>
  <c r="P42"/>
  <c r="P36"/>
  <c r="P33"/>
  <c r="P31"/>
  <c r="P30"/>
  <c r="P28"/>
  <c r="P27"/>
  <c r="P26"/>
  <c r="P25"/>
  <c r="P21"/>
  <c r="P20"/>
  <c r="P16"/>
  <c r="P14"/>
  <c r="P13"/>
  <c r="P12"/>
  <c r="P11"/>
  <c r="P10"/>
  <c r="P9"/>
  <c r="P8"/>
  <c r="N65" l="1"/>
  <c r="N37" l="1"/>
  <c r="N34"/>
  <c r="N33"/>
  <c r="N14"/>
  <c r="N13"/>
  <c r="N12"/>
  <c r="N10"/>
  <c r="N9"/>
  <c r="N8"/>
  <c r="P65"/>
  <c r="P34"/>
  <c r="P24"/>
  <c r="N61" l="1"/>
  <c r="N28"/>
  <c r="N36" l="1"/>
  <c r="N24"/>
  <c r="N15"/>
  <c r="N62" l="1"/>
  <c r="N11" l="1"/>
  <c r="N60" l="1"/>
  <c r="N17" l="1"/>
  <c r="N31" l="1"/>
  <c r="C64" l="1"/>
  <c r="C62"/>
  <c r="C52"/>
  <c r="C44"/>
  <c r="C43"/>
  <c r="C41"/>
  <c r="C40"/>
  <c r="C39"/>
  <c r="C36"/>
  <c r="C30"/>
  <c r="C25"/>
  <c r="C20"/>
  <c r="C8"/>
  <c r="R44" l="1"/>
  <c r="R45"/>
  <c r="R46"/>
  <c r="R47"/>
  <c r="R48"/>
  <c r="R49"/>
  <c r="R50"/>
  <c r="R51"/>
  <c r="R52"/>
  <c r="R53"/>
  <c r="R54"/>
  <c r="R55"/>
  <c r="R56"/>
  <c r="R57"/>
  <c r="R58"/>
  <c r="R59"/>
  <c r="R61"/>
  <c r="R63"/>
  <c r="R64"/>
  <c r="R66"/>
  <c r="R67"/>
  <c r="R68"/>
  <c r="R69"/>
  <c r="R70"/>
  <c r="R71"/>
  <c r="R72"/>
  <c r="R73"/>
  <c r="R74"/>
  <c r="R18"/>
  <c r="R19"/>
  <c r="R22"/>
  <c r="R23"/>
  <c r="R29"/>
  <c r="R32"/>
  <c r="R43" l="1"/>
  <c r="R40"/>
  <c r="R38"/>
  <c r="R37"/>
  <c r="R36"/>
  <c r="R35"/>
  <c r="R34"/>
  <c r="R33"/>
  <c r="R30"/>
  <c r="R27"/>
  <c r="R26"/>
  <c r="R25"/>
  <c r="R21"/>
  <c r="R15"/>
  <c r="R39" l="1"/>
  <c r="R41"/>
  <c r="C32" l="1"/>
  <c r="C33"/>
  <c r="R31" l="1"/>
  <c r="E32"/>
  <c r="E33"/>
  <c r="R60" l="1"/>
  <c r="R65" l="1"/>
  <c r="R42"/>
  <c r="R28"/>
  <c r="C67" l="1"/>
  <c r="R24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R62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R20" l="1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R14" l="1"/>
  <c r="R16" l="1"/>
  <c r="R17" l="1"/>
  <c r="R11" l="1"/>
  <c r="R13"/>
  <c r="R12"/>
  <c r="R10"/>
  <c r="R9"/>
  <c r="R8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<sst xmlns="http://schemas.openxmlformats.org/spreadsheetml/2006/main" count="179" uniqueCount="110">
  <si>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</si>
  <si>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</si>
  <si>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</si>
  <si>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</si>
  <si>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Товарные запасы в торговле</t>
  </si>
  <si>
    <t>Тонны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</si>
  <si>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</si>
  <si>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</si>
  <si>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</si>
  <si>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</si>
  <si>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</si>
  <si>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</si>
  <si>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</si>
  <si>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</si>
  <si>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</si>
  <si>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</si>
  <si>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</si>
  <si>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</si>
  <si>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</si>
  <si>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</si>
  <si>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</si>
  <si>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</si>
  <si>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</si>
  <si>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</si>
  <si>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</si>
  <si>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</si>
  <si>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</si>
  <si>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</si>
  <si>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</si>
  <si>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</si>
  <si>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</si>
  <si>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</si>
  <si>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</si>
  <si>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</si>
  <si>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</si>
  <si>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</si>
  <si>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Для мониторинга средних цен необходимо выбирать наиболее востребованные товары в категории, которые постоянно есть в продаже, и не менять их на всем протяжении мониторинга.
В случае выбытия товара из ассортимента необходимо подобрать ему замену, аналогичную по характеристикам и цене. Не рекомендуется фиксировать цены на товары, реализуемые по акции.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</si>
  <si>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</si>
  <si>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</si>
  <si>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</si>
  <si>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</si>
  <si>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Приложение 1                                                                                                                                к письму ___________от _________________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</si>
  <si>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</si>
  <si>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</si>
  <si>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</si>
  <si>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</si>
  <si>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</si>
  <si>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</si>
  <si>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</si>
  <si>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</si>
  <si>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</si>
  <si>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** информация по этим позициям предоставляетс в случае наличия таких товаров в ассортименте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</si>
  <si>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</si>
  <si>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</si>
  <si>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</si>
  <si>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</si>
  <si>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</si>
  <si>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</si>
  <si>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</si>
  <si>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</si>
  <si>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</si>
  <si>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</si>
  <si>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</si>
  <si>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товарные запасы указаны в тоннах</t>
  </si>
  <si>
    <t>товарные запасы указаны в тыс. штук</t>
  </si>
  <si>
    <t>товарные запасы указаны в штуках</t>
  </si>
  <si>
    <t>товарные запасы указаны в бутылках</t>
  </si>
  <si>
    <t>Пеленка для новорожденного ситцевая, шт**</t>
  </si>
  <si>
    <t xml:space="preserve">Комментарий по товарным запасам
</t>
  </si>
  <si>
    <t>Динамика спроса, % к предыдущему дню</t>
  </si>
  <si>
    <t>Дни торговли, исходя из текущих темпов продаж</t>
  </si>
  <si>
    <t xml:space="preserve">товарные запасы указаны в штуках </t>
  </si>
  <si>
    <t>ООО "Купец" магазин "Ветер"</t>
  </si>
  <si>
    <t>Итого товарные запасы в торговле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</si>
  <si>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</si>
  <si>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</si>
  <si>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</si>
  <si>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</si>
  <si>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</si>
  <si>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</si>
  <si>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</si>
  <si>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</si>
  <si>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</si>
  <si>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</si>
  <si>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</si>
  <si>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</si>
  <si>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</si>
  <si>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</si>
  <si>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</si>
  <si>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</si>
  <si>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</si>
  <si>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</si>
  <si>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</si>
  <si>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</si>
  <si>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</si>
  <si>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</si>
  <si>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</si>
  <si>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</si>
  <si>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</si>
  <si>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</si>
  <si>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</si>
  <si>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Исполнитель: Липова И.Н. тел.: 8(34678)28-103, сот. 8-952-711-75-02</t>
  </si>
  <si>
    <t>изменение розничной цены в магазине Пятерочка г.п.Приобье</t>
  </si>
  <si>
    <t>изменение розничной цены в магазине Монетка с.п.Уньюган</t>
  </si>
  <si>
    <t>изменение розничной цены в магазинах Пятерочка г.п.Приобье, Монетка с.п.Уньюган</t>
  </si>
  <si>
    <t xml:space="preserve">изменение розничной цены в магазине Пятерочка г.п.Приобье, Магнит с.п.Талинка, Сияние Севера г.п.Октябрьское </t>
  </si>
  <si>
    <t xml:space="preserve">нет в наличии в магазине Монетка с.п.Уньюган, поступление товара Сияние Севера г.п.Октябрьское </t>
  </si>
  <si>
    <t>изменение розничной цены в магазинах Пятерочка г.п.Приобье, Монетка с.п.Уньюган, Магнит с.п.Талинка, Сияние Севера г.п.Октябрьское, поступление товара в магазин Продукты Шеркалы</t>
  </si>
  <si>
    <t xml:space="preserve">изменение розничной цены в магазинах Пятерочка г.п.Приобье, Магнит с.п.Талинка, Сияние Севера г.п.Октябрьское </t>
  </si>
  <si>
    <t>изменение розничной цены в магазинах Монетка с.п.Уньюган, Магнит с.п.Талинка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</si>
</sst>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00"/>
    <numFmt numFmtId="166" formatCode="0.0000"/>
  </numFmts>
  <fonts count="20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5"/>
      <name val="Calibri"/>
      <family val="2"/>
      <charset val="1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20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left" vertical="top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0" fillId="0" borderId="0" xfId="0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7" fillId="0" borderId="0" xfId="0" applyFont="1" applyFill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7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9" fontId="10" fillId="3" borderId="1" xfId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right" vertical="center" wrapText="1"/>
    </xf>
    <xf numFmtId="9" fontId="10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9" fontId="10" fillId="3" borderId="1" xfId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0" fillId="3" borderId="1" xfId="0" applyFont="1" applyFill="1" applyBorder="1"/>
    <xf numFmtId="0" fontId="10" fillId="3" borderId="3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14" fontId="15" fillId="5" borderId="1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right" vertical="center" wrapText="1"/>
    </xf>
    <xf numFmtId="2" fontId="16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9" fontId="19" fillId="5" borderId="1" xfId="1" applyFont="1" applyFill="1" applyBorder="1" applyAlignment="1">
      <alignment horizontal="center" vertical="center" wrapText="1"/>
    </xf>
    <xf numFmtId="9" fontId="19" fillId="5" borderId="1" xfId="1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right" vertical="center" wrapText="1"/>
    </xf>
    <xf numFmtId="9" fontId="19" fillId="5" borderId="1" xfId="1" applyFont="1" applyFill="1" applyBorder="1" applyAlignment="1">
      <alignment horizontal="center" wrapText="1"/>
    </xf>
    <xf numFmtId="2" fontId="10" fillId="5" borderId="1" xfId="0" applyNumberFormat="1" applyFont="1" applyFill="1" applyBorder="1" applyAlignment="1">
      <alignment horizontal="right" vertical="center" wrapText="1"/>
    </xf>
    <xf numFmtId="2" fontId="10" fillId="5" borderId="1" xfId="0" applyNumberFormat="1" applyFont="1" applyFill="1" applyBorder="1" applyAlignment="1">
      <alignment horizontal="right" wrapText="1"/>
    </xf>
    <xf numFmtId="165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center" vertical="center" wrapText="1"/>
    </xf>
    <xf numFmtId="1" fontId="19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vertical="center"/>
    </xf>
    <xf numFmtId="2" fontId="19" fillId="5" borderId="1" xfId="0" applyNumberFormat="1" applyFont="1" applyFill="1" applyBorder="1" applyAlignment="1">
      <alignment vertical="center" wrapText="1"/>
    </xf>
    <xf numFmtId="0" fontId="11" fillId="3" borderId="0" xfId="0" applyFont="1" applyFill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4" fontId="14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8"/>
  <sheetViews>
    <sheetView tabSelected="1" view="pageBreakPreview" topLeftCell="A12" zoomScale="40" zoomScaleNormal="55" zoomScaleSheetLayoutView="40" zoomScalePageLayoutView="75" workbookViewId="0">
      <selection activeCell="A38" sqref="A38:XFD39"/>
    </sheetView>
  </sheetViews>
  <sheetFormatPr defaultRowHeight="26.25"/>
  <cols>
    <col min="1" max="1" width="6.5703125" style="1" customWidth="1"/>
    <col min="2" max="2" width="86.5703125" style="6" customWidth="1"/>
    <col min="3" max="4" width="25" style="14" customWidth="1"/>
    <col min="5" max="5" width="25" style="9" customWidth="1"/>
    <col min="6" max="6" width="79.85546875" style="21" customWidth="1"/>
    <col min="7" max="13" width="30.28515625" style="9" customWidth="1"/>
    <col min="14" max="14" width="22" style="9" hidden="1" customWidth="1"/>
    <col min="15" max="15" width="21.42578125" style="9" hidden="1" customWidth="1"/>
    <col min="16" max="16" width="23.5703125" style="53" hidden="1" customWidth="1"/>
    <col min="17" max="17" width="21.28515625" style="9" hidden="1" customWidth="1"/>
    <col min="18" max="18" width="22.85546875" style="32" hidden="1" customWidth="1"/>
    <col min="19" max="19" width="10.5703125" style="9" hidden="1" customWidth="1"/>
    <col min="20" max="20" width="5.140625" style="9" hidden="1" customWidth="1"/>
    <col min="21" max="21" width="52.140625" style="9" hidden="1" customWidth="1"/>
    <col min="22" max="22" width="27.42578125" style="9" customWidth="1"/>
    <col min="23" max="23" width="8.7109375" style="9" customWidth="1"/>
    <col min="24" max="25" width="8.7109375" style="45" customWidth="1"/>
    <col min="26" max="1038" width="8.7109375" customWidth="1"/>
  </cols>
  <sheetData>
    <row r="1" spans="1:25" ht="24.75" hidden="1" customHeight="1">
      <c r="T1" s="85" t="s">
        <v>41</v>
      </c>
      <c r="U1" s="85"/>
    </row>
    <row r="2" spans="1:25" ht="24.75" hidden="1" customHeight="1">
      <c r="T2" s="85"/>
      <c r="U2" s="85"/>
    </row>
    <row r="3" spans="1:25" ht="24.75" customHeight="1">
      <c r="B3" s="11" t="s">
        <v>42</v>
      </c>
    </row>
    <row r="4" spans="1:25" ht="18" customHeight="1">
      <c r="A4" s="5"/>
      <c r="B4" s="12"/>
      <c r="C4" s="40">
        <v>44053</v>
      </c>
      <c r="D4" s="41">
        <v>44052</v>
      </c>
      <c r="E4" s="22"/>
      <c r="F4" s="92" t="s">
        <v>0</v>
      </c>
      <c r="G4" s="22">
        <v>1</v>
      </c>
      <c r="H4" s="22">
        <v>2</v>
      </c>
      <c r="I4" s="22">
        <v>3</v>
      </c>
      <c r="J4" s="22">
        <v>4</v>
      </c>
      <c r="K4" s="22">
        <v>5</v>
      </c>
      <c r="L4" s="22">
        <v>6</v>
      </c>
      <c r="M4" s="22">
        <v>8</v>
      </c>
      <c r="N4" s="22"/>
      <c r="O4" s="22"/>
      <c r="P4" s="22"/>
      <c r="Q4" s="22"/>
      <c r="R4" s="33"/>
      <c r="S4" s="95">
        <v>43923</v>
      </c>
      <c r="T4" s="95"/>
      <c r="U4" s="96" t="s">
        <v>68</v>
      </c>
    </row>
    <row r="5" spans="1:25" ht="21.75" customHeight="1">
      <c r="A5" s="97" t="s">
        <v>1</v>
      </c>
      <c r="B5" s="98" t="s">
        <v>2</v>
      </c>
      <c r="C5" s="99" t="s">
        <v>3</v>
      </c>
      <c r="D5" s="99" t="s">
        <v>3</v>
      </c>
      <c r="E5" s="90" t="s">
        <v>57</v>
      </c>
      <c r="F5" s="92"/>
      <c r="G5" s="70" t="s">
        <v>48</v>
      </c>
      <c r="H5" s="70" t="s">
        <v>45</v>
      </c>
      <c r="I5" s="70" t="s">
        <v>47</v>
      </c>
      <c r="J5" s="91" t="s">
        <v>58</v>
      </c>
      <c r="K5" s="91"/>
      <c r="L5" s="70" t="s">
        <v>44</v>
      </c>
      <c r="M5" s="70" t="s">
        <v>46</v>
      </c>
      <c r="N5" s="96" t="s">
        <v>4</v>
      </c>
      <c r="O5" s="96"/>
      <c r="P5" s="96"/>
      <c r="Q5" s="96"/>
      <c r="R5" s="96" t="s">
        <v>73</v>
      </c>
      <c r="S5" s="96"/>
      <c r="T5" s="96" t="s">
        <v>69</v>
      </c>
      <c r="U5" s="96"/>
    </row>
    <row r="6" spans="1:25" ht="68.25" customHeight="1">
      <c r="A6" s="97"/>
      <c r="B6" s="98"/>
      <c r="C6" s="99"/>
      <c r="D6" s="99"/>
      <c r="E6" s="90"/>
      <c r="F6" s="92"/>
      <c r="G6" s="52" t="s">
        <v>61</v>
      </c>
      <c r="H6" s="52" t="s">
        <v>59</v>
      </c>
      <c r="I6" s="52" t="s">
        <v>60</v>
      </c>
      <c r="J6" s="71" t="s">
        <v>43</v>
      </c>
      <c r="K6" s="69" t="s">
        <v>55</v>
      </c>
      <c r="L6" s="71" t="s">
        <v>56</v>
      </c>
      <c r="M6" s="69" t="s">
        <v>72</v>
      </c>
      <c r="N6" s="71" t="s">
        <v>43</v>
      </c>
      <c r="O6" s="69" t="s">
        <v>55</v>
      </c>
      <c r="P6" s="71" t="s">
        <v>56</v>
      </c>
      <c r="Q6" s="69" t="s">
        <v>72</v>
      </c>
      <c r="R6" s="34" t="s">
        <v>5</v>
      </c>
      <c r="S6" s="59" t="s">
        <v>70</v>
      </c>
      <c r="T6" s="96"/>
      <c r="U6" s="96"/>
    </row>
    <row r="7" spans="1:25" ht="20.25" customHeight="1">
      <c r="A7" s="16"/>
      <c r="B7" s="17" t="s">
        <v>62</v>
      </c>
      <c r="C7" s="18"/>
      <c r="D7" s="18"/>
      <c r="E7" s="60"/>
      <c r="F7" s="5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31"/>
      <c r="S7" s="60"/>
      <c r="T7" s="60"/>
      <c r="U7" s="60"/>
    </row>
    <row r="8" spans="1:25" s="3" customFormat="1" ht="24.75" customHeight="1">
      <c r="A8" s="2">
        <v>1</v>
      </c>
      <c r="B8" s="13" t="s">
        <v>14</v>
      </c>
      <c r="C8" s="15">
        <f>AVERAGE(G8:M8)</f>
        <v>44.379999999999995</v>
      </c>
      <c r="D8" s="15">
        <v>45.213333333333331</v>
      </c>
      <c r="E8" s="73">
        <f t="shared" ref="E8:E21" si="0">C8/D8</f>
        <v>0.98156885874373334</v>
      </c>
      <c r="F8" s="39" t="s">
        <v>102</v>
      </c>
      <c r="G8" s="75">
        <v>32.99</v>
      </c>
      <c r="H8" s="50">
        <v>34.9</v>
      </c>
      <c r="I8" s="50">
        <v>37.39</v>
      </c>
      <c r="J8" s="50">
        <v>56</v>
      </c>
      <c r="K8" s="50"/>
      <c r="L8" s="50">
        <v>50</v>
      </c>
      <c r="M8" s="61">
        <v>55</v>
      </c>
      <c r="N8" s="25">
        <f>7/1000</f>
        <v>7.0000000000000001E-3</v>
      </c>
      <c r="O8" s="50"/>
      <c r="P8" s="25">
        <f>110/1000</f>
        <v>0.11</v>
      </c>
      <c r="Q8" s="81">
        <f>112/1000</f>
        <v>0.112</v>
      </c>
      <c r="R8" s="25">
        <f t="shared" ref="R8:R71" si="1">SUM(N8:Q8)</f>
        <v>0.22900000000000001</v>
      </c>
      <c r="S8" s="28"/>
      <c r="T8" s="28"/>
      <c r="U8" s="35" t="s">
        <v>63</v>
      </c>
      <c r="V8" s="42"/>
      <c r="W8" s="42"/>
      <c r="X8" s="46"/>
      <c r="Y8" s="46"/>
    </row>
    <row r="9" spans="1:25" s="3" customFormat="1" ht="24.75" customHeight="1">
      <c r="A9" s="2">
        <v>2</v>
      </c>
      <c r="B9" s="13" t="s">
        <v>15</v>
      </c>
      <c r="C9" s="15">
        <f t="shared" ref="C9:C24" si="2">AVERAGE(G9:M9)</f>
        <v>16.13</v>
      </c>
      <c r="D9" s="15">
        <v>16.796666666666667</v>
      </c>
      <c r="E9" s="73">
        <f t="shared" si="0"/>
        <v>0.96030958523516563</v>
      </c>
      <c r="F9" s="39" t="s">
        <v>103</v>
      </c>
      <c r="G9" s="50">
        <v>9.49</v>
      </c>
      <c r="H9" s="75">
        <v>12.9</v>
      </c>
      <c r="I9" s="50">
        <v>14.39</v>
      </c>
      <c r="J9" s="50">
        <v>24</v>
      </c>
      <c r="K9" s="50"/>
      <c r="L9" s="50">
        <v>20</v>
      </c>
      <c r="M9" s="61">
        <v>16</v>
      </c>
      <c r="N9" s="25">
        <f>12/1000</f>
        <v>1.2E-2</v>
      </c>
      <c r="O9" s="50"/>
      <c r="P9" s="25">
        <f>56/1000</f>
        <v>5.6000000000000001E-2</v>
      </c>
      <c r="Q9" s="81">
        <f>101/1000</f>
        <v>0.10100000000000001</v>
      </c>
      <c r="R9" s="25">
        <f t="shared" si="1"/>
        <v>0.16900000000000001</v>
      </c>
      <c r="S9" s="28"/>
      <c r="T9" s="28"/>
      <c r="U9" s="35" t="s">
        <v>63</v>
      </c>
      <c r="V9" s="42"/>
      <c r="W9" s="42"/>
      <c r="X9" s="46"/>
      <c r="Y9" s="46"/>
    </row>
    <row r="10" spans="1:25" s="3" customFormat="1" ht="39" customHeight="1">
      <c r="A10" s="2">
        <v>3</v>
      </c>
      <c r="B10" s="13" t="s">
        <v>49</v>
      </c>
      <c r="C10" s="15">
        <f t="shared" si="2"/>
        <v>51.308333333333337</v>
      </c>
      <c r="D10" s="15">
        <v>47.141666666666673</v>
      </c>
      <c r="E10" s="74">
        <f t="shared" si="0"/>
        <v>1.0883860703553119</v>
      </c>
      <c r="F10" s="39" t="s">
        <v>104</v>
      </c>
      <c r="G10" s="75">
        <v>47.45</v>
      </c>
      <c r="H10" s="75">
        <v>69.900000000000006</v>
      </c>
      <c r="I10" s="50">
        <v>30</v>
      </c>
      <c r="J10" s="50">
        <v>64</v>
      </c>
      <c r="K10" s="50"/>
      <c r="L10" s="50">
        <v>39</v>
      </c>
      <c r="M10" s="61">
        <v>57.5</v>
      </c>
      <c r="N10" s="25">
        <f>10/1000</f>
        <v>0.01</v>
      </c>
      <c r="O10" s="50"/>
      <c r="P10" s="25">
        <f>60/1000</f>
        <v>0.06</v>
      </c>
      <c r="Q10" s="81">
        <f>30/1000</f>
        <v>0.03</v>
      </c>
      <c r="R10" s="25">
        <f t="shared" si="1"/>
        <v>9.9999999999999992E-2</v>
      </c>
      <c r="S10" s="28"/>
      <c r="T10" s="28"/>
      <c r="U10" s="35" t="s">
        <v>63</v>
      </c>
      <c r="V10" s="42"/>
      <c r="W10" s="42"/>
      <c r="X10" s="46"/>
      <c r="Y10" s="46"/>
    </row>
    <row r="11" spans="1:25" s="3" customFormat="1" ht="24.75" customHeight="1">
      <c r="A11" s="2">
        <v>4</v>
      </c>
      <c r="B11" s="13" t="s">
        <v>18</v>
      </c>
      <c r="C11" s="15">
        <f t="shared" si="2"/>
        <v>81.840833333333336</v>
      </c>
      <c r="D11" s="50">
        <v>81.840833333333336</v>
      </c>
      <c r="E11" s="23">
        <f t="shared" si="0"/>
        <v>1</v>
      </c>
      <c r="F11" s="39"/>
      <c r="G11" s="50">
        <v>35.67</v>
      </c>
      <c r="H11" s="50">
        <v>112.375</v>
      </c>
      <c r="I11" s="50">
        <v>45.5</v>
      </c>
      <c r="J11" s="50">
        <v>110</v>
      </c>
      <c r="K11" s="50"/>
      <c r="L11" s="50">
        <v>112.5</v>
      </c>
      <c r="M11" s="61">
        <v>75</v>
      </c>
      <c r="N11" s="54">
        <f>3/1000</f>
        <v>3.0000000000000001E-3</v>
      </c>
      <c r="O11" s="50"/>
      <c r="P11" s="25">
        <f>6.4/1000</f>
        <v>6.4000000000000003E-3</v>
      </c>
      <c r="Q11" s="81">
        <f>35/1000</f>
        <v>3.5000000000000003E-2</v>
      </c>
      <c r="R11" s="25">
        <f t="shared" si="1"/>
        <v>4.4400000000000002E-2</v>
      </c>
      <c r="S11" s="28"/>
      <c r="T11" s="28"/>
      <c r="U11" s="35" t="s">
        <v>63</v>
      </c>
      <c r="V11" s="42"/>
      <c r="W11" s="42"/>
      <c r="X11" s="46"/>
      <c r="Y11" s="46"/>
    </row>
    <row r="12" spans="1:25" s="3" customFormat="1" ht="24.75" customHeight="1">
      <c r="A12" s="2">
        <v>5</v>
      </c>
      <c r="B12" s="13" t="s">
        <v>17</v>
      </c>
      <c r="C12" s="15">
        <f t="shared" si="2"/>
        <v>91.436666666666667</v>
      </c>
      <c r="D12" s="50">
        <v>91.436666666666667</v>
      </c>
      <c r="E12" s="23">
        <f t="shared" si="0"/>
        <v>1</v>
      </c>
      <c r="F12" s="39"/>
      <c r="G12" s="50">
        <v>84.43</v>
      </c>
      <c r="H12" s="50">
        <v>87.38</v>
      </c>
      <c r="I12" s="50">
        <v>105.56</v>
      </c>
      <c r="J12" s="50">
        <v>110</v>
      </c>
      <c r="K12" s="50"/>
      <c r="L12" s="50">
        <v>81.25</v>
      </c>
      <c r="M12" s="61">
        <v>80</v>
      </c>
      <c r="N12" s="25">
        <f>4/1000</f>
        <v>4.0000000000000001E-3</v>
      </c>
      <c r="O12" s="50"/>
      <c r="P12" s="25">
        <f>5.6/1000</f>
        <v>5.5999999999999999E-3</v>
      </c>
      <c r="Q12" s="81">
        <f>27/1000</f>
        <v>2.7E-2</v>
      </c>
      <c r="R12" s="25">
        <f t="shared" si="1"/>
        <v>3.6600000000000001E-2</v>
      </c>
      <c r="S12" s="28"/>
      <c r="T12" s="28"/>
      <c r="U12" s="35" t="s">
        <v>63</v>
      </c>
      <c r="V12" s="42"/>
      <c r="W12" s="42"/>
      <c r="X12" s="46"/>
      <c r="Y12" s="46"/>
    </row>
    <row r="13" spans="1:25" s="3" customFormat="1" ht="27" customHeight="1">
      <c r="A13" s="2">
        <v>6</v>
      </c>
      <c r="B13" s="13" t="s">
        <v>19</v>
      </c>
      <c r="C13" s="15">
        <f t="shared" si="2"/>
        <v>98.719999999999985</v>
      </c>
      <c r="D13" s="50">
        <v>98.719999999999985</v>
      </c>
      <c r="E13" s="23">
        <f t="shared" si="0"/>
        <v>1</v>
      </c>
      <c r="F13" s="39"/>
      <c r="G13" s="50">
        <v>81.44</v>
      </c>
      <c r="H13" s="50">
        <v>112.38</v>
      </c>
      <c r="I13" s="50">
        <v>107.25</v>
      </c>
      <c r="J13" s="50">
        <v>122.5</v>
      </c>
      <c r="K13" s="50"/>
      <c r="L13" s="50">
        <v>93.75</v>
      </c>
      <c r="M13" s="61">
        <v>75</v>
      </c>
      <c r="N13" s="25">
        <f>4/1000</f>
        <v>4.0000000000000001E-3</v>
      </c>
      <c r="O13" s="50"/>
      <c r="P13" s="25">
        <f>5.2/1000</f>
        <v>5.1999999999999998E-3</v>
      </c>
      <c r="Q13" s="81">
        <f>38/1000</f>
        <v>3.7999999999999999E-2</v>
      </c>
      <c r="R13" s="25">
        <f t="shared" si="1"/>
        <v>4.7199999999999999E-2</v>
      </c>
      <c r="S13" s="28"/>
      <c r="T13" s="28"/>
      <c r="U13" s="35" t="s">
        <v>63</v>
      </c>
      <c r="V13" s="42"/>
      <c r="W13" s="42"/>
      <c r="X13" s="46"/>
      <c r="Y13" s="46"/>
    </row>
    <row r="14" spans="1:25" ht="45.75" customHeight="1">
      <c r="A14" s="2">
        <v>7</v>
      </c>
      <c r="B14" s="8" t="s">
        <v>22</v>
      </c>
      <c r="C14" s="15">
        <f t="shared" si="2"/>
        <v>75.165000000000006</v>
      </c>
      <c r="D14" s="50">
        <v>75.165000000000006</v>
      </c>
      <c r="E14" s="23">
        <f t="shared" si="0"/>
        <v>1</v>
      </c>
      <c r="F14" s="24"/>
      <c r="G14" s="50">
        <v>104.44</v>
      </c>
      <c r="H14" s="50">
        <v>74.88</v>
      </c>
      <c r="I14" s="50">
        <v>106.67</v>
      </c>
      <c r="J14" s="50">
        <v>64</v>
      </c>
      <c r="K14" s="50"/>
      <c r="L14" s="50">
        <v>46</v>
      </c>
      <c r="M14" s="61">
        <v>55</v>
      </c>
      <c r="N14" s="25">
        <f>11/1000</f>
        <v>1.0999999999999999E-2</v>
      </c>
      <c r="O14" s="50"/>
      <c r="P14" s="25">
        <f>33/1000</f>
        <v>3.3000000000000002E-2</v>
      </c>
      <c r="Q14" s="81">
        <f>43/1000</f>
        <v>4.2999999999999997E-2</v>
      </c>
      <c r="R14" s="25">
        <f t="shared" si="1"/>
        <v>8.6999999999999994E-2</v>
      </c>
      <c r="S14" s="28"/>
      <c r="T14" s="28"/>
      <c r="U14" s="35" t="s">
        <v>63</v>
      </c>
    </row>
    <row r="15" spans="1:25" ht="26.25" customHeight="1">
      <c r="A15" s="2">
        <v>8</v>
      </c>
      <c r="B15" s="8" t="s">
        <v>74</v>
      </c>
      <c r="C15" s="15">
        <f t="shared" si="2"/>
        <v>67.567499999999995</v>
      </c>
      <c r="D15" s="50">
        <v>67.567499999999995</v>
      </c>
      <c r="E15" s="23">
        <f t="shared" si="0"/>
        <v>1</v>
      </c>
      <c r="F15" s="39"/>
      <c r="G15" s="50">
        <v>71.849999999999994</v>
      </c>
      <c r="H15" s="50">
        <v>49.75</v>
      </c>
      <c r="I15" s="50">
        <v>106.67</v>
      </c>
      <c r="J15" s="62">
        <v>42</v>
      </c>
      <c r="K15" s="50"/>
      <c r="L15" s="50"/>
      <c r="M15" s="50"/>
      <c r="N15" s="25">
        <f>5/1000</f>
        <v>5.0000000000000001E-3</v>
      </c>
      <c r="O15" s="69"/>
      <c r="P15" s="69"/>
      <c r="Q15" s="69"/>
      <c r="R15" s="25">
        <f t="shared" si="1"/>
        <v>5.0000000000000001E-3</v>
      </c>
      <c r="S15" s="60"/>
      <c r="T15" s="60"/>
      <c r="U15" s="60"/>
    </row>
    <row r="16" spans="1:25" s="3" customFormat="1" ht="25.5" customHeight="1">
      <c r="A16" s="2">
        <v>9</v>
      </c>
      <c r="B16" s="13" t="s">
        <v>75</v>
      </c>
      <c r="C16" s="15">
        <f t="shared" si="2"/>
        <v>99.633333333333326</v>
      </c>
      <c r="D16" s="50">
        <v>102.96666666666665</v>
      </c>
      <c r="E16" s="73">
        <f t="shared" si="0"/>
        <v>0.96762706377468444</v>
      </c>
      <c r="F16" s="39" t="s">
        <v>103</v>
      </c>
      <c r="G16" s="50">
        <v>90.7</v>
      </c>
      <c r="H16" s="75">
        <v>79.900000000000006</v>
      </c>
      <c r="I16" s="50">
        <v>112.2</v>
      </c>
      <c r="J16" s="50">
        <v>115</v>
      </c>
      <c r="K16" s="50"/>
      <c r="L16" s="50">
        <v>100</v>
      </c>
      <c r="M16" s="61">
        <v>100</v>
      </c>
      <c r="N16" s="79">
        <f>13/1000</f>
        <v>1.2999999999999999E-2</v>
      </c>
      <c r="O16" s="50"/>
      <c r="P16" s="25">
        <f>43/1000</f>
        <v>4.2999999999999997E-2</v>
      </c>
      <c r="Q16" s="81">
        <f>82/1000</f>
        <v>8.2000000000000003E-2</v>
      </c>
      <c r="R16" s="25">
        <f t="shared" si="1"/>
        <v>0.13800000000000001</v>
      </c>
      <c r="S16" s="28"/>
      <c r="T16" s="28"/>
      <c r="U16" s="35" t="s">
        <v>63</v>
      </c>
      <c r="V16" s="42"/>
      <c r="W16" s="42"/>
      <c r="X16" s="46"/>
      <c r="Y16" s="46"/>
    </row>
    <row r="17" spans="1:25" s="3" customFormat="1" ht="27" customHeight="1">
      <c r="A17" s="2">
        <v>10</v>
      </c>
      <c r="B17" s="13" t="s">
        <v>16</v>
      </c>
      <c r="C17" s="15">
        <f t="shared" si="2"/>
        <v>710.49333333333334</v>
      </c>
      <c r="D17" s="50">
        <v>710.49333333333334</v>
      </c>
      <c r="E17" s="23">
        <f t="shared" si="0"/>
        <v>1</v>
      </c>
      <c r="F17" s="24"/>
      <c r="G17" s="50">
        <v>479.96</v>
      </c>
      <c r="H17" s="50">
        <v>659</v>
      </c>
      <c r="I17" s="50">
        <v>878</v>
      </c>
      <c r="J17" s="50">
        <v>696</v>
      </c>
      <c r="K17" s="50"/>
      <c r="L17" s="50">
        <v>400</v>
      </c>
      <c r="M17" s="61">
        <v>1150</v>
      </c>
      <c r="N17" s="25">
        <f>5/1000</f>
        <v>5.0000000000000001E-3</v>
      </c>
      <c r="O17" s="50"/>
      <c r="P17" s="25">
        <f>6/1000</f>
        <v>6.0000000000000001E-3</v>
      </c>
      <c r="Q17" s="81">
        <f>38/1000</f>
        <v>3.7999999999999999E-2</v>
      </c>
      <c r="R17" s="25">
        <f t="shared" si="1"/>
        <v>4.9000000000000002E-2</v>
      </c>
      <c r="S17" s="28"/>
      <c r="T17" s="28"/>
      <c r="U17" s="35" t="s">
        <v>63</v>
      </c>
      <c r="V17" s="42"/>
      <c r="W17" s="42"/>
      <c r="X17" s="46"/>
      <c r="Y17" s="46"/>
    </row>
    <row r="18" spans="1:25" s="3" customFormat="1" ht="44.25" customHeight="1">
      <c r="A18" s="2">
        <v>11</v>
      </c>
      <c r="B18" s="13" t="s">
        <v>99</v>
      </c>
      <c r="C18" s="15">
        <f t="shared" si="2"/>
        <v>60.646000000000001</v>
      </c>
      <c r="D18" s="50">
        <v>60.646000000000001</v>
      </c>
      <c r="E18" s="23">
        <f t="shared" si="0"/>
        <v>1</v>
      </c>
      <c r="F18" s="39"/>
      <c r="G18" s="50">
        <v>57</v>
      </c>
      <c r="H18" s="50">
        <v>67.8</v>
      </c>
      <c r="I18" s="50">
        <v>57.6</v>
      </c>
      <c r="J18" s="50">
        <v>62.5</v>
      </c>
      <c r="K18" s="50"/>
      <c r="L18" s="50"/>
      <c r="M18" s="61">
        <v>58.33</v>
      </c>
      <c r="N18" s="54"/>
      <c r="O18" s="50"/>
      <c r="P18" s="54"/>
      <c r="Q18" s="72"/>
      <c r="R18" s="25">
        <f t="shared" si="1"/>
        <v>0</v>
      </c>
      <c r="S18" s="28"/>
      <c r="T18" s="28"/>
      <c r="U18" s="35"/>
      <c r="V18" s="42"/>
      <c r="W18" s="42"/>
      <c r="X18" s="46"/>
      <c r="Y18" s="46"/>
    </row>
    <row r="19" spans="1:25" s="3" customFormat="1" ht="42" customHeight="1">
      <c r="A19" s="2">
        <v>12</v>
      </c>
      <c r="B19" s="13" t="s">
        <v>100</v>
      </c>
      <c r="C19" s="15">
        <f t="shared" si="2"/>
        <v>58.655999999999992</v>
      </c>
      <c r="D19" s="50">
        <v>58.655999999999992</v>
      </c>
      <c r="E19" s="23">
        <f t="shared" si="0"/>
        <v>1</v>
      </c>
      <c r="F19" s="24"/>
      <c r="G19" s="50">
        <v>63</v>
      </c>
      <c r="H19" s="50">
        <v>55.8</v>
      </c>
      <c r="I19" s="50">
        <v>51.98</v>
      </c>
      <c r="J19" s="50">
        <v>52.5</v>
      </c>
      <c r="K19" s="50"/>
      <c r="L19" s="50"/>
      <c r="M19" s="61">
        <v>70</v>
      </c>
      <c r="N19" s="54"/>
      <c r="O19" s="50"/>
      <c r="P19" s="54"/>
      <c r="Q19" s="72"/>
      <c r="R19" s="25">
        <f t="shared" si="1"/>
        <v>0</v>
      </c>
      <c r="S19" s="28"/>
      <c r="T19" s="28"/>
      <c r="U19" s="35"/>
      <c r="V19" s="42"/>
      <c r="W19" s="42"/>
      <c r="X19" s="46"/>
      <c r="Y19" s="46"/>
    </row>
    <row r="20" spans="1:25" ht="24.75" customHeight="1">
      <c r="A20" s="2">
        <v>13</v>
      </c>
      <c r="B20" s="8" t="s">
        <v>21</v>
      </c>
      <c r="C20" s="15">
        <f>AVERAGE(G20:M20)</f>
        <v>151.10555555555555</v>
      </c>
      <c r="D20" s="50">
        <v>151.10555555555555</v>
      </c>
      <c r="E20" s="23">
        <f t="shared" si="0"/>
        <v>1</v>
      </c>
      <c r="F20" s="24"/>
      <c r="G20" s="50">
        <v>188.98</v>
      </c>
      <c r="H20" s="50">
        <v>159.73333333333332</v>
      </c>
      <c r="I20" s="50">
        <v>117.92</v>
      </c>
      <c r="J20" s="50">
        <v>140</v>
      </c>
      <c r="K20" s="50"/>
      <c r="L20" s="50">
        <v>160</v>
      </c>
      <c r="M20" s="61">
        <v>140</v>
      </c>
      <c r="N20" s="79">
        <f>2.1/1000</f>
        <v>2.1000000000000003E-3</v>
      </c>
      <c r="O20" s="50"/>
      <c r="P20" s="25">
        <f>18/1000</f>
        <v>1.7999999999999999E-2</v>
      </c>
      <c r="Q20" s="81">
        <f>23.6/1000</f>
        <v>2.3600000000000003E-2</v>
      </c>
      <c r="R20" s="25">
        <f t="shared" si="1"/>
        <v>4.3700000000000003E-2</v>
      </c>
      <c r="S20" s="28"/>
      <c r="T20" s="28"/>
      <c r="U20" s="35" t="s">
        <v>63</v>
      </c>
    </row>
    <row r="21" spans="1:25" ht="27" customHeight="1">
      <c r="A21" s="2">
        <v>14</v>
      </c>
      <c r="B21" s="8" t="s">
        <v>76</v>
      </c>
      <c r="C21" s="15">
        <f t="shared" si="2"/>
        <v>279.2</v>
      </c>
      <c r="D21" s="50">
        <v>279.2</v>
      </c>
      <c r="E21" s="23">
        <f t="shared" si="0"/>
        <v>1</v>
      </c>
      <c r="F21" s="39"/>
      <c r="G21" s="50">
        <v>386.3</v>
      </c>
      <c r="H21" s="50">
        <v>149.9</v>
      </c>
      <c r="I21" s="50">
        <v>449</v>
      </c>
      <c r="J21" s="50">
        <v>240</v>
      </c>
      <c r="K21" s="50"/>
      <c r="L21" s="50">
        <v>250</v>
      </c>
      <c r="M21" s="61">
        <v>200</v>
      </c>
      <c r="N21" s="79">
        <f>2.3/1000</f>
        <v>2.3E-3</v>
      </c>
      <c r="O21" s="50"/>
      <c r="P21" s="25">
        <f>10/1000</f>
        <v>0.01</v>
      </c>
      <c r="Q21" s="81">
        <f>24.6/1000</f>
        <v>2.46E-2</v>
      </c>
      <c r="R21" s="25">
        <f t="shared" si="1"/>
        <v>3.6900000000000002E-2</v>
      </c>
      <c r="S21" s="28"/>
      <c r="T21" s="28"/>
      <c r="U21" s="35"/>
    </row>
    <row r="22" spans="1:25" s="3" customFormat="1" ht="24" customHeight="1">
      <c r="A22" s="2">
        <v>15</v>
      </c>
      <c r="B22" s="13" t="s">
        <v>10</v>
      </c>
      <c r="C22" s="15" t="e">
        <f t="shared" si="2"/>
        <v>#DIV/0!</v>
      </c>
      <c r="D22" s="50" t="e">
        <v>#DIV/0!</v>
      </c>
      <c r="E22" s="23" t="e">
        <f>C22/D22</f>
        <v>#DIV/0!</v>
      </c>
      <c r="F22" s="26"/>
      <c r="G22" s="50"/>
      <c r="H22" s="50"/>
      <c r="I22" s="50"/>
      <c r="J22" s="50"/>
      <c r="K22" s="50"/>
      <c r="L22" s="50"/>
      <c r="M22" s="61"/>
      <c r="N22" s="54"/>
      <c r="O22" s="50"/>
      <c r="P22" s="54"/>
      <c r="Q22" s="72"/>
      <c r="R22" s="25">
        <f t="shared" si="1"/>
        <v>0</v>
      </c>
      <c r="S22" s="28"/>
      <c r="T22" s="28"/>
      <c r="U22" s="35" t="s">
        <v>63</v>
      </c>
      <c r="V22" s="42"/>
      <c r="W22" s="42"/>
      <c r="X22" s="46"/>
      <c r="Y22" s="46"/>
    </row>
    <row r="23" spans="1:25" s="3" customFormat="1" ht="24.75" customHeight="1">
      <c r="A23" s="2">
        <v>16</v>
      </c>
      <c r="B23" s="13" t="s">
        <v>11</v>
      </c>
      <c r="C23" s="15">
        <f t="shared" si="2"/>
        <v>350</v>
      </c>
      <c r="D23" s="50">
        <v>350</v>
      </c>
      <c r="E23" s="23">
        <f>C23/D23</f>
        <v>1</v>
      </c>
      <c r="F23" s="24"/>
      <c r="G23" s="50"/>
      <c r="H23" s="50"/>
      <c r="I23" s="50"/>
      <c r="J23" s="50"/>
      <c r="K23" s="50"/>
      <c r="L23" s="50"/>
      <c r="M23" s="61">
        <v>350</v>
      </c>
      <c r="N23" s="54"/>
      <c r="O23" s="50"/>
      <c r="P23" s="54"/>
      <c r="Q23" s="81">
        <f>16.3/1000</f>
        <v>1.6300000000000002E-2</v>
      </c>
      <c r="R23" s="25">
        <f t="shared" si="1"/>
        <v>1.6300000000000002E-2</v>
      </c>
      <c r="S23" s="28"/>
      <c r="T23" s="28"/>
      <c r="U23" s="35" t="s">
        <v>63</v>
      </c>
      <c r="V23" s="42"/>
      <c r="W23" s="42"/>
      <c r="X23" s="46"/>
      <c r="Y23" s="46"/>
    </row>
    <row r="24" spans="1:25" s="3" customFormat="1" ht="29.25" customHeight="1">
      <c r="A24" s="2">
        <v>17</v>
      </c>
      <c r="B24" s="13" t="s">
        <v>77</v>
      </c>
      <c r="C24" s="15">
        <f t="shared" si="2"/>
        <v>185.28</v>
      </c>
      <c r="D24" s="50">
        <v>186.80499999999998</v>
      </c>
      <c r="E24" s="74">
        <f>C24/D24</f>
        <v>0.99183640694842223</v>
      </c>
      <c r="F24" s="39" t="s">
        <v>102</v>
      </c>
      <c r="G24" s="75">
        <v>208.79</v>
      </c>
      <c r="H24" s="50">
        <v>149.9</v>
      </c>
      <c r="I24" s="50">
        <v>112.99</v>
      </c>
      <c r="J24" s="50">
        <v>240</v>
      </c>
      <c r="K24" s="50"/>
      <c r="L24" s="50">
        <v>205</v>
      </c>
      <c r="M24" s="61">
        <v>195</v>
      </c>
      <c r="N24" s="25">
        <f>9/1000</f>
        <v>8.9999999999999993E-3</v>
      </c>
      <c r="O24" s="50"/>
      <c r="P24" s="25">
        <f>2/1000</f>
        <v>2E-3</v>
      </c>
      <c r="Q24" s="81">
        <f>23.5/1000</f>
        <v>2.35E-2</v>
      </c>
      <c r="R24" s="25">
        <f t="shared" si="1"/>
        <v>3.4500000000000003E-2</v>
      </c>
      <c r="S24" s="28"/>
      <c r="T24" s="28"/>
      <c r="U24" s="35" t="s">
        <v>63</v>
      </c>
      <c r="V24" s="42"/>
      <c r="W24" s="42"/>
      <c r="X24" s="46"/>
      <c r="Y24" s="46"/>
    </row>
    <row r="25" spans="1:25" s="3" customFormat="1" ht="26.25" customHeight="1">
      <c r="A25" s="2">
        <v>18</v>
      </c>
      <c r="B25" s="13" t="s">
        <v>78</v>
      </c>
      <c r="C25" s="15">
        <f>AVERAGE(G25:M25)</f>
        <v>360.44166666666666</v>
      </c>
      <c r="D25" s="50">
        <v>360.44166666666666</v>
      </c>
      <c r="E25" s="27">
        <f t="shared" ref="E25:E27" si="3">C25/D25</f>
        <v>1</v>
      </c>
      <c r="F25" s="39"/>
      <c r="G25" s="50">
        <v>435.53</v>
      </c>
      <c r="H25" s="50">
        <v>116.5</v>
      </c>
      <c r="I25" s="50">
        <v>430.62</v>
      </c>
      <c r="J25" s="50">
        <v>380</v>
      </c>
      <c r="K25" s="50"/>
      <c r="L25" s="50">
        <v>405</v>
      </c>
      <c r="M25" s="61">
        <v>395</v>
      </c>
      <c r="N25" s="79">
        <f>4.3/1000</f>
        <v>4.3E-3</v>
      </c>
      <c r="O25" s="50"/>
      <c r="P25" s="25">
        <f>21/1000</f>
        <v>2.1000000000000001E-2</v>
      </c>
      <c r="Q25" s="81">
        <f>15.1/1000</f>
        <v>1.5099999999999999E-2</v>
      </c>
      <c r="R25" s="25">
        <f t="shared" si="1"/>
        <v>4.0400000000000005E-2</v>
      </c>
      <c r="S25" s="28"/>
      <c r="T25" s="28"/>
      <c r="U25" s="35" t="s">
        <v>63</v>
      </c>
      <c r="V25" s="42"/>
      <c r="W25" s="42"/>
      <c r="X25" s="46"/>
      <c r="Y25" s="46"/>
    </row>
    <row r="26" spans="1:25" s="3" customFormat="1" ht="38.25" customHeight="1">
      <c r="A26" s="2">
        <v>19</v>
      </c>
      <c r="B26" s="13" t="s">
        <v>79</v>
      </c>
      <c r="C26" s="15">
        <f t="shared" ref="C26:C27" si="4">AVERAGE(G26:M26)</f>
        <v>453.00166666666672</v>
      </c>
      <c r="D26" s="50">
        <v>453.00166666666672</v>
      </c>
      <c r="E26" s="27">
        <f t="shared" si="3"/>
        <v>1</v>
      </c>
      <c r="F26" s="39"/>
      <c r="G26" s="50">
        <v>342.83</v>
      </c>
      <c r="H26" s="50">
        <v>356.9</v>
      </c>
      <c r="I26" s="50">
        <v>568.57000000000005</v>
      </c>
      <c r="J26" s="50">
        <v>685.71</v>
      </c>
      <c r="K26" s="50"/>
      <c r="L26" s="50">
        <v>280</v>
      </c>
      <c r="M26" s="61">
        <v>484</v>
      </c>
      <c r="N26" s="79">
        <f>3.6/1000</f>
        <v>3.5999999999999999E-3</v>
      </c>
      <c r="O26" s="50"/>
      <c r="P26" s="25">
        <f>17/1000</f>
        <v>1.7000000000000001E-2</v>
      </c>
      <c r="Q26" s="81">
        <f>10.3/1000</f>
        <v>1.03E-2</v>
      </c>
      <c r="R26" s="25">
        <f t="shared" si="1"/>
        <v>3.09E-2</v>
      </c>
      <c r="S26" s="28"/>
      <c r="T26" s="28"/>
      <c r="U26" s="35" t="s">
        <v>63</v>
      </c>
      <c r="V26" s="42"/>
      <c r="W26" s="42"/>
      <c r="X26" s="46"/>
      <c r="Y26" s="46"/>
    </row>
    <row r="27" spans="1:25" s="3" customFormat="1" ht="35.25" customHeight="1">
      <c r="A27" s="2">
        <v>20</v>
      </c>
      <c r="B27" s="13" t="s">
        <v>80</v>
      </c>
      <c r="C27" s="15">
        <f t="shared" si="4"/>
        <v>354.28000000000003</v>
      </c>
      <c r="D27" s="50">
        <v>354.28000000000003</v>
      </c>
      <c r="E27" s="23">
        <f t="shared" si="3"/>
        <v>1</v>
      </c>
      <c r="F27" s="39"/>
      <c r="G27" s="50">
        <v>391.98</v>
      </c>
      <c r="H27" s="50">
        <v>99.9</v>
      </c>
      <c r="I27" s="50">
        <v>439.8</v>
      </c>
      <c r="J27" s="50">
        <v>540</v>
      </c>
      <c r="K27" s="50"/>
      <c r="L27" s="50">
        <v>225</v>
      </c>
      <c r="M27" s="61">
        <v>429</v>
      </c>
      <c r="N27" s="79">
        <f>4.2/1000</f>
        <v>4.2000000000000006E-3</v>
      </c>
      <c r="O27" s="50"/>
      <c r="P27" s="25">
        <f>29/1000</f>
        <v>2.9000000000000001E-2</v>
      </c>
      <c r="Q27" s="81">
        <f>27.5/1000</f>
        <v>2.75E-2</v>
      </c>
      <c r="R27" s="25">
        <f t="shared" si="1"/>
        <v>6.0700000000000004E-2</v>
      </c>
      <c r="S27" s="28"/>
      <c r="T27" s="28"/>
      <c r="U27" s="35" t="s">
        <v>63</v>
      </c>
      <c r="V27" s="42"/>
      <c r="W27" s="42"/>
      <c r="X27" s="46"/>
      <c r="Y27" s="46"/>
    </row>
    <row r="28" spans="1:25" s="3" customFormat="1" ht="24.75" customHeight="1">
      <c r="A28" s="2">
        <v>21</v>
      </c>
      <c r="B28" s="13" t="s">
        <v>81</v>
      </c>
      <c r="C28" s="15">
        <f t="shared" ref="C28:C33" si="5">AVERAGE(G28:M28)</f>
        <v>136.0393655489809</v>
      </c>
      <c r="D28" s="50">
        <v>136.03907143133389</v>
      </c>
      <c r="E28" s="23">
        <f>C28/D28</f>
        <v>1.0000021620086341</v>
      </c>
      <c r="F28" s="39"/>
      <c r="G28" s="50">
        <v>102.3</v>
      </c>
      <c r="H28" s="50">
        <v>102.84</v>
      </c>
      <c r="I28" s="50">
        <v>186.29</v>
      </c>
      <c r="J28" s="50">
        <v>184.31952662721883</v>
      </c>
      <c r="K28" s="50"/>
      <c r="L28" s="50">
        <v>133.82</v>
      </c>
      <c r="M28" s="61">
        <f>304.761904761905*0.35</f>
        <v>106.66666666666674</v>
      </c>
      <c r="N28" s="25">
        <f>1.4/1000</f>
        <v>1.4E-3</v>
      </c>
      <c r="O28" s="50"/>
      <c r="P28" s="25">
        <f>69.2/1000</f>
        <v>6.9199999999999998E-2</v>
      </c>
      <c r="Q28" s="81">
        <f>34.65/1000</f>
        <v>3.465E-2</v>
      </c>
      <c r="R28" s="25">
        <f t="shared" si="1"/>
        <v>0.10525</v>
      </c>
      <c r="S28" s="28"/>
      <c r="T28" s="28"/>
      <c r="U28" s="35" t="s">
        <v>63</v>
      </c>
      <c r="V28" s="42"/>
      <c r="W28" s="42"/>
      <c r="X28" s="46"/>
      <c r="Y28" s="46"/>
    </row>
    <row r="29" spans="1:25" s="3" customFormat="1" ht="29.25" customHeight="1">
      <c r="A29" s="2">
        <v>22</v>
      </c>
      <c r="B29" s="13" t="s">
        <v>12</v>
      </c>
      <c r="C29" s="15">
        <f t="shared" si="5"/>
        <v>147.66666666666666</v>
      </c>
      <c r="D29" s="50">
        <v>147.66666666666666</v>
      </c>
      <c r="E29" s="23">
        <f>C29/D29</f>
        <v>1</v>
      </c>
      <c r="F29" s="24"/>
      <c r="G29" s="50">
        <v>93.2</v>
      </c>
      <c r="H29" s="50">
        <v>179.9</v>
      </c>
      <c r="I29" s="50">
        <v>169.9</v>
      </c>
      <c r="J29" s="50"/>
      <c r="K29" s="50"/>
      <c r="L29" s="50"/>
      <c r="M29" s="61"/>
      <c r="N29" s="54"/>
      <c r="O29" s="50"/>
      <c r="P29" s="54"/>
      <c r="Q29" s="72"/>
      <c r="R29" s="25">
        <f t="shared" si="1"/>
        <v>0</v>
      </c>
      <c r="S29" s="28"/>
      <c r="T29" s="28"/>
      <c r="U29" s="36"/>
      <c r="V29" s="42"/>
      <c r="W29" s="42"/>
      <c r="X29" s="46"/>
      <c r="Y29" s="46"/>
    </row>
    <row r="30" spans="1:25" s="3" customFormat="1" ht="40.5" customHeight="1">
      <c r="A30" s="2">
        <v>23</v>
      </c>
      <c r="B30" s="13" t="s">
        <v>13</v>
      </c>
      <c r="C30" s="15">
        <f>AVERAGE(G30:M30)</f>
        <v>56.313333333333333</v>
      </c>
      <c r="D30" s="50">
        <v>56.146666666666668</v>
      </c>
      <c r="E30" s="27">
        <f>C30/D30</f>
        <v>1.002968416053194</v>
      </c>
      <c r="F30" s="39"/>
      <c r="G30" s="75">
        <v>42.99</v>
      </c>
      <c r="H30" s="50">
        <v>59.9</v>
      </c>
      <c r="I30" s="50">
        <v>44.99</v>
      </c>
      <c r="J30" s="50">
        <v>70</v>
      </c>
      <c r="K30" s="50"/>
      <c r="L30" s="50">
        <v>65</v>
      </c>
      <c r="M30" s="61">
        <v>55</v>
      </c>
      <c r="N30" s="79">
        <f>76/1000</f>
        <v>7.5999999999999998E-2</v>
      </c>
      <c r="O30" s="50"/>
      <c r="P30" s="25">
        <f>30/1000</f>
        <v>0.03</v>
      </c>
      <c r="Q30" s="81">
        <f>90/1000</f>
        <v>0.09</v>
      </c>
      <c r="R30" s="25">
        <f t="shared" si="1"/>
        <v>0.19600000000000001</v>
      </c>
      <c r="S30" s="28"/>
      <c r="T30" s="28"/>
      <c r="U30" s="35" t="s">
        <v>64</v>
      </c>
      <c r="V30" s="42"/>
      <c r="W30" s="42"/>
      <c r="X30" s="46"/>
      <c r="Y30" s="46"/>
    </row>
    <row r="31" spans="1:25" s="3" customFormat="1" ht="24" customHeight="1">
      <c r="A31" s="2">
        <v>24</v>
      </c>
      <c r="B31" s="13" t="s">
        <v>82</v>
      </c>
      <c r="C31" s="15">
        <f t="shared" si="5"/>
        <v>589.755</v>
      </c>
      <c r="D31" s="50">
        <v>589.755</v>
      </c>
      <c r="E31" s="23">
        <f>C31/D31</f>
        <v>1</v>
      </c>
      <c r="F31" s="39"/>
      <c r="G31" s="50">
        <v>761.06</v>
      </c>
      <c r="H31" s="50">
        <v>770.86</v>
      </c>
      <c r="I31" s="50">
        <v>720.5</v>
      </c>
      <c r="J31" s="50">
        <v>611.11</v>
      </c>
      <c r="K31" s="50"/>
      <c r="L31" s="50">
        <v>275</v>
      </c>
      <c r="M31" s="61">
        <v>400</v>
      </c>
      <c r="N31" s="25">
        <f>1/1000</f>
        <v>1E-3</v>
      </c>
      <c r="O31" s="50"/>
      <c r="P31" s="25">
        <f>15/1000</f>
        <v>1.4999999999999999E-2</v>
      </c>
      <c r="Q31" s="81">
        <f>5.2/1000</f>
        <v>5.1999999999999998E-3</v>
      </c>
      <c r="R31" s="25">
        <f t="shared" si="1"/>
        <v>2.12E-2</v>
      </c>
      <c r="S31" s="28"/>
      <c r="T31" s="28"/>
      <c r="U31" s="35" t="s">
        <v>63</v>
      </c>
      <c r="V31" s="42"/>
      <c r="W31" s="42"/>
      <c r="X31" s="46"/>
      <c r="Y31" s="46"/>
    </row>
    <row r="32" spans="1:25" s="3" customFormat="1" ht="39" customHeight="1">
      <c r="A32" s="2">
        <v>25</v>
      </c>
      <c r="B32" s="13" t="s">
        <v>83</v>
      </c>
      <c r="C32" s="15">
        <f t="shared" si="5"/>
        <v>43.726666666666667</v>
      </c>
      <c r="D32" s="50">
        <v>43.726666666666667</v>
      </c>
      <c r="E32" s="23">
        <f>C32/D32</f>
        <v>1</v>
      </c>
      <c r="F32" s="39"/>
      <c r="G32" s="50">
        <v>43.4</v>
      </c>
      <c r="H32" s="50">
        <v>48.9</v>
      </c>
      <c r="I32" s="50">
        <v>38.880000000000003</v>
      </c>
      <c r="J32" s="50"/>
      <c r="K32" s="50"/>
      <c r="L32" s="50"/>
      <c r="M32" s="61"/>
      <c r="N32" s="25"/>
      <c r="O32" s="50"/>
      <c r="P32" s="25"/>
      <c r="Q32" s="72"/>
      <c r="R32" s="25">
        <f t="shared" si="1"/>
        <v>0</v>
      </c>
      <c r="S32" s="28"/>
      <c r="T32" s="28"/>
      <c r="U32" s="35" t="s">
        <v>63</v>
      </c>
      <c r="V32" s="42"/>
      <c r="W32" s="42"/>
      <c r="X32" s="46"/>
      <c r="Y32" s="46"/>
    </row>
    <row r="33" spans="1:27" s="3" customFormat="1" ht="43.5" customHeight="1">
      <c r="A33" s="2">
        <v>26</v>
      </c>
      <c r="B33" s="13" t="s">
        <v>84</v>
      </c>
      <c r="C33" s="15">
        <f t="shared" si="5"/>
        <v>59.588333333333331</v>
      </c>
      <c r="D33" s="50">
        <v>59.588333333333331</v>
      </c>
      <c r="E33" s="23">
        <f t="shared" ref="E33" si="6">C33/D33</f>
        <v>1</v>
      </c>
      <c r="F33" s="39"/>
      <c r="G33" s="50">
        <v>45.99</v>
      </c>
      <c r="H33" s="50">
        <v>49.89</v>
      </c>
      <c r="I33" s="50">
        <v>46.65</v>
      </c>
      <c r="J33" s="50">
        <v>75</v>
      </c>
      <c r="K33" s="50"/>
      <c r="L33" s="50">
        <v>75</v>
      </c>
      <c r="M33" s="61">
        <v>65</v>
      </c>
      <c r="N33" s="25">
        <f>3/1000</f>
        <v>3.0000000000000001E-3</v>
      </c>
      <c r="O33" s="50"/>
      <c r="P33" s="25">
        <f>60/1000</f>
        <v>0.06</v>
      </c>
      <c r="Q33" s="81">
        <f>53/1000</f>
        <v>5.2999999999999999E-2</v>
      </c>
      <c r="R33" s="25">
        <f t="shared" si="1"/>
        <v>0.11599999999999999</v>
      </c>
      <c r="S33" s="28"/>
      <c r="T33" s="28"/>
      <c r="U33" s="35" t="s">
        <v>63</v>
      </c>
      <c r="V33" s="42"/>
      <c r="W33" s="42"/>
      <c r="X33" s="46"/>
      <c r="Y33" s="46"/>
    </row>
    <row r="34" spans="1:27" s="3" customFormat="1" ht="27.75" customHeight="1">
      <c r="A34" s="2">
        <v>27</v>
      </c>
      <c r="B34" s="13" t="s">
        <v>85</v>
      </c>
      <c r="C34" s="15">
        <f t="shared" ref="C34:C37" si="7">AVERAGE(G34:M34)</f>
        <v>255.56199999999998</v>
      </c>
      <c r="D34" s="50">
        <v>264.95600000000002</v>
      </c>
      <c r="E34" s="73">
        <f t="shared" ref="E34:E40" si="8">C34/D34</f>
        <v>0.96454505653768918</v>
      </c>
      <c r="F34" s="39" t="s">
        <v>102</v>
      </c>
      <c r="G34" s="75">
        <v>206.33</v>
      </c>
      <c r="H34" s="50">
        <v>219.8</v>
      </c>
      <c r="I34" s="50">
        <v>186.6</v>
      </c>
      <c r="J34" s="50">
        <v>365.08</v>
      </c>
      <c r="K34" s="50"/>
      <c r="L34" s="50">
        <v>300</v>
      </c>
      <c r="M34" s="61"/>
      <c r="N34" s="25">
        <f>1.1/1000</f>
        <v>1.1000000000000001E-3</v>
      </c>
      <c r="O34" s="50"/>
      <c r="P34" s="25">
        <f>2/1000</f>
        <v>2E-3</v>
      </c>
      <c r="Q34" s="72"/>
      <c r="R34" s="25">
        <f t="shared" si="1"/>
        <v>3.1000000000000003E-3</v>
      </c>
      <c r="S34" s="28"/>
      <c r="T34" s="28"/>
      <c r="U34" s="35" t="s">
        <v>63</v>
      </c>
      <c r="V34" s="42"/>
      <c r="W34" s="42"/>
      <c r="X34" s="46"/>
      <c r="Y34" s="46"/>
    </row>
    <row r="35" spans="1:27" s="3" customFormat="1" ht="24" customHeight="1">
      <c r="A35" s="2">
        <v>28</v>
      </c>
      <c r="B35" s="13" t="s">
        <v>86</v>
      </c>
      <c r="C35" s="15">
        <f t="shared" si="7"/>
        <v>307.25</v>
      </c>
      <c r="D35" s="50">
        <v>307.25</v>
      </c>
      <c r="E35" s="23">
        <f t="shared" si="8"/>
        <v>1</v>
      </c>
      <c r="F35" s="39"/>
      <c r="G35" s="50">
        <v>299.95</v>
      </c>
      <c r="H35" s="50">
        <v>322</v>
      </c>
      <c r="I35" s="50">
        <v>299.8</v>
      </c>
      <c r="J35" s="50"/>
      <c r="K35" s="50"/>
      <c r="L35" s="50"/>
      <c r="M35" s="61"/>
      <c r="N35" s="54"/>
      <c r="O35" s="50"/>
      <c r="P35" s="54"/>
      <c r="Q35" s="72"/>
      <c r="R35" s="25">
        <f t="shared" si="1"/>
        <v>0</v>
      </c>
      <c r="S35" s="28"/>
      <c r="T35" s="28"/>
      <c r="U35" s="35" t="s">
        <v>63</v>
      </c>
      <c r="V35" s="42"/>
      <c r="W35" s="42"/>
      <c r="X35" s="46"/>
      <c r="Y35" s="46"/>
    </row>
    <row r="36" spans="1:27" s="3" customFormat="1" ht="27" customHeight="1">
      <c r="A36" s="2">
        <v>29</v>
      </c>
      <c r="B36" s="13" t="s">
        <v>87</v>
      </c>
      <c r="C36" s="15">
        <f>AVERAGE(G36:M36)</f>
        <v>614.52166666666665</v>
      </c>
      <c r="D36" s="50">
        <v>614.52166666666665</v>
      </c>
      <c r="E36" s="23">
        <f t="shared" si="8"/>
        <v>1</v>
      </c>
      <c r="F36" s="24"/>
      <c r="G36" s="50">
        <v>559.9</v>
      </c>
      <c r="H36" s="50">
        <v>817.73</v>
      </c>
      <c r="I36" s="50">
        <v>849.5</v>
      </c>
      <c r="J36" s="50">
        <v>460</v>
      </c>
      <c r="K36" s="50"/>
      <c r="L36" s="50">
        <v>400</v>
      </c>
      <c r="M36" s="61">
        <v>600</v>
      </c>
      <c r="N36" s="25">
        <f>1/1000</f>
        <v>1E-3</v>
      </c>
      <c r="O36" s="50"/>
      <c r="P36" s="25">
        <f>16/1000</f>
        <v>1.6E-2</v>
      </c>
      <c r="Q36" s="81">
        <f>10.5/1000</f>
        <v>1.0500000000000001E-2</v>
      </c>
      <c r="R36" s="25">
        <f t="shared" si="1"/>
        <v>2.7500000000000004E-2</v>
      </c>
      <c r="S36" s="28"/>
      <c r="T36" s="28"/>
      <c r="U36" s="35" t="s">
        <v>63</v>
      </c>
      <c r="V36" s="42"/>
      <c r="W36" s="42"/>
      <c r="X36" s="46"/>
      <c r="Y36" s="46"/>
    </row>
    <row r="37" spans="1:27" s="3" customFormat="1" ht="27" customHeight="1">
      <c r="A37" s="2">
        <v>30</v>
      </c>
      <c r="B37" s="13" t="s">
        <v>88</v>
      </c>
      <c r="C37" s="15">
        <f t="shared" si="7"/>
        <v>171.92499999999998</v>
      </c>
      <c r="D37" s="50">
        <v>171.94166666666669</v>
      </c>
      <c r="E37" s="23">
        <f t="shared" si="8"/>
        <v>0.99990306790093519</v>
      </c>
      <c r="F37" s="39"/>
      <c r="G37" s="50">
        <v>124.95</v>
      </c>
      <c r="H37" s="50">
        <v>159.80000000000001</v>
      </c>
      <c r="I37" s="50">
        <v>171.8</v>
      </c>
      <c r="J37" s="50">
        <v>225</v>
      </c>
      <c r="K37" s="50"/>
      <c r="L37" s="50">
        <v>175</v>
      </c>
      <c r="M37" s="61">
        <v>175</v>
      </c>
      <c r="N37" s="54">
        <f>10/1000</f>
        <v>0.01</v>
      </c>
      <c r="O37" s="50"/>
      <c r="P37" s="25">
        <f>8/1000</f>
        <v>8.0000000000000002E-3</v>
      </c>
      <c r="Q37" s="81">
        <f>2.4/1000</f>
        <v>2.3999999999999998E-3</v>
      </c>
      <c r="R37" s="25">
        <f t="shared" si="1"/>
        <v>2.0400000000000001E-2</v>
      </c>
      <c r="S37" s="28"/>
      <c r="T37" s="28"/>
      <c r="U37" s="35" t="s">
        <v>63</v>
      </c>
      <c r="V37" s="42"/>
      <c r="W37" s="42"/>
      <c r="X37" s="46"/>
      <c r="Y37" s="46"/>
    </row>
    <row r="38" spans="1:27" ht="42.75" customHeight="1">
      <c r="A38" s="2">
        <v>31</v>
      </c>
      <c r="B38" s="8" t="s">
        <v>27</v>
      </c>
      <c r="C38" s="15">
        <f>AVERAGE(G38:M38)</f>
        <v>156.21333333333334</v>
      </c>
      <c r="D38" s="50">
        <v>162.64666666666668</v>
      </c>
      <c r="E38" s="73">
        <f t="shared" si="8"/>
        <v>0.96044595647005782</v>
      </c>
      <c r="F38" s="39" t="s">
        <v>105</v>
      </c>
      <c r="G38" s="75">
        <v>125.99</v>
      </c>
      <c r="H38" s="50">
        <v>119.9</v>
      </c>
      <c r="I38" s="75">
        <v>136.38999999999999</v>
      </c>
      <c r="J38" s="75">
        <v>140</v>
      </c>
      <c r="K38" s="50"/>
      <c r="L38" s="50">
        <v>205</v>
      </c>
      <c r="M38" s="61">
        <v>210</v>
      </c>
      <c r="N38" s="79">
        <f>16.5/1000</f>
        <v>1.6500000000000001E-2</v>
      </c>
      <c r="O38" s="50"/>
      <c r="P38" s="79">
        <f>16/1000</f>
        <v>1.6E-2</v>
      </c>
      <c r="Q38" s="81">
        <f>25.3/1000</f>
        <v>2.53E-2</v>
      </c>
      <c r="R38" s="25">
        <f t="shared" si="1"/>
        <v>5.7800000000000004E-2</v>
      </c>
      <c r="S38" s="28"/>
      <c r="T38" s="28"/>
      <c r="U38" s="35" t="s">
        <v>63</v>
      </c>
    </row>
    <row r="39" spans="1:27" s="3" customFormat="1" ht="42.75" customHeight="1">
      <c r="A39" s="2">
        <v>32</v>
      </c>
      <c r="B39" s="8" t="s">
        <v>89</v>
      </c>
      <c r="C39" s="15">
        <f>AVERAGE(G39:M39)</f>
        <v>71.396000000000001</v>
      </c>
      <c r="D39" s="50">
        <v>65.775999999999996</v>
      </c>
      <c r="E39" s="73">
        <f t="shared" si="8"/>
        <v>1.0854414984188763</v>
      </c>
      <c r="F39" s="39" t="s">
        <v>106</v>
      </c>
      <c r="G39" s="50">
        <v>69.989999999999995</v>
      </c>
      <c r="H39" s="77"/>
      <c r="I39" s="50">
        <v>78.989999999999995</v>
      </c>
      <c r="J39" s="75">
        <v>68</v>
      </c>
      <c r="K39" s="50"/>
      <c r="L39" s="50">
        <v>70</v>
      </c>
      <c r="M39" s="61">
        <v>70</v>
      </c>
      <c r="N39" s="79">
        <f>11/1000</f>
        <v>1.0999999999999999E-2</v>
      </c>
      <c r="O39" s="50"/>
      <c r="P39" s="79">
        <f>11/1000</f>
        <v>1.0999999999999999E-2</v>
      </c>
      <c r="Q39" s="81">
        <f>16.5/1000</f>
        <v>1.6500000000000001E-2</v>
      </c>
      <c r="R39" s="25">
        <f t="shared" si="1"/>
        <v>3.85E-2</v>
      </c>
      <c r="S39" s="28"/>
      <c r="T39" s="28"/>
      <c r="U39" s="35" t="s">
        <v>63</v>
      </c>
      <c r="V39" s="42"/>
      <c r="W39" s="42"/>
      <c r="X39" s="46"/>
      <c r="Y39" s="46"/>
    </row>
    <row r="40" spans="1:27" ht="82.5" customHeight="1">
      <c r="A40" s="2">
        <v>33</v>
      </c>
      <c r="B40" s="8" t="s">
        <v>90</v>
      </c>
      <c r="C40" s="15">
        <f>AVERAGE(G40:M40)</f>
        <v>98.313333333333333</v>
      </c>
      <c r="D40" s="50">
        <v>114.776</v>
      </c>
      <c r="E40" s="74">
        <f t="shared" si="8"/>
        <v>0.8565669942612858</v>
      </c>
      <c r="F40" s="39" t="s">
        <v>107</v>
      </c>
      <c r="G40" s="75">
        <v>69.989999999999995</v>
      </c>
      <c r="H40" s="75">
        <v>69.900000000000006</v>
      </c>
      <c r="I40" s="75">
        <v>99.99</v>
      </c>
      <c r="J40" s="75">
        <v>120</v>
      </c>
      <c r="K40" s="50"/>
      <c r="L40" s="75">
        <v>100</v>
      </c>
      <c r="M40" s="61">
        <v>130</v>
      </c>
      <c r="N40" s="79">
        <f>16.2/1000</f>
        <v>1.6199999999999999E-2</v>
      </c>
      <c r="O40" s="63"/>
      <c r="P40" s="79">
        <f>13/1000</f>
        <v>1.2999999999999999E-2</v>
      </c>
      <c r="Q40" s="81">
        <f>20.3/1000</f>
        <v>2.0300000000000002E-2</v>
      </c>
      <c r="R40" s="25">
        <f t="shared" si="1"/>
        <v>4.9500000000000002E-2</v>
      </c>
      <c r="S40" s="28"/>
      <c r="T40" s="28"/>
      <c r="U40" s="35" t="s">
        <v>63</v>
      </c>
    </row>
    <row r="41" spans="1:27" s="6" customFormat="1" ht="43.5" customHeight="1">
      <c r="A41" s="2">
        <v>34</v>
      </c>
      <c r="B41" s="8" t="s">
        <v>23</v>
      </c>
      <c r="C41" s="15">
        <f>AVERAGE(G41:M41)</f>
        <v>43.798333333333325</v>
      </c>
      <c r="D41" s="50">
        <v>43.248333333333335</v>
      </c>
      <c r="E41" s="73">
        <f t="shared" ref="E41:E51" si="9">C41/D41</f>
        <v>1.0127172530733359</v>
      </c>
      <c r="F41" s="39" t="s">
        <v>108</v>
      </c>
      <c r="G41" s="75">
        <v>30.9</v>
      </c>
      <c r="H41" s="50">
        <v>19.899999999999999</v>
      </c>
      <c r="I41" s="75">
        <v>41.99</v>
      </c>
      <c r="J41" s="75">
        <v>50</v>
      </c>
      <c r="K41" s="50"/>
      <c r="L41" s="50">
        <v>70</v>
      </c>
      <c r="M41" s="61">
        <v>50</v>
      </c>
      <c r="N41" s="79">
        <f>38.8/1000</f>
        <v>3.8799999999999994E-2</v>
      </c>
      <c r="O41" s="50"/>
      <c r="P41" s="79">
        <f>53/1000</f>
        <v>5.2999999999999999E-2</v>
      </c>
      <c r="Q41" s="81">
        <f>98/1000</f>
        <v>9.8000000000000004E-2</v>
      </c>
      <c r="R41" s="25">
        <f t="shared" si="1"/>
        <v>0.1898</v>
      </c>
      <c r="S41" s="28"/>
      <c r="T41" s="28"/>
      <c r="U41" s="35" t="s">
        <v>63</v>
      </c>
      <c r="V41" s="9"/>
      <c r="W41" s="9"/>
      <c r="X41" s="45"/>
      <c r="Y41" s="45"/>
    </row>
    <row r="42" spans="1:27" s="6" customFormat="1" ht="41.25" customHeight="1">
      <c r="A42" s="2">
        <v>35</v>
      </c>
      <c r="B42" s="8" t="s">
        <v>24</v>
      </c>
      <c r="C42" s="15">
        <f t="shared" ref="C42:C54" si="10">AVERAGE(G42:M42)</f>
        <v>30.646666666666665</v>
      </c>
      <c r="D42" s="50">
        <v>31.146666666666665</v>
      </c>
      <c r="E42" s="73">
        <f t="shared" si="9"/>
        <v>0.98394691780821919</v>
      </c>
      <c r="F42" s="39" t="s">
        <v>104</v>
      </c>
      <c r="G42" s="75">
        <v>20.99</v>
      </c>
      <c r="H42" s="75">
        <v>17.899999999999999</v>
      </c>
      <c r="I42" s="50">
        <v>22.99</v>
      </c>
      <c r="J42" s="50">
        <v>40</v>
      </c>
      <c r="K42" s="50"/>
      <c r="L42" s="50">
        <v>40</v>
      </c>
      <c r="M42" s="61">
        <v>42</v>
      </c>
      <c r="N42" s="79">
        <f>30.5/1000</f>
        <v>3.0499999999999999E-2</v>
      </c>
      <c r="O42" s="50"/>
      <c r="P42" s="25">
        <f>17/1000</f>
        <v>1.7000000000000001E-2</v>
      </c>
      <c r="Q42" s="81">
        <f>28.3/1000</f>
        <v>2.8300000000000002E-2</v>
      </c>
      <c r="R42" s="25">
        <f t="shared" si="1"/>
        <v>7.5800000000000006E-2</v>
      </c>
      <c r="S42" s="28"/>
      <c r="T42" s="28"/>
      <c r="U42" s="35" t="s">
        <v>63</v>
      </c>
      <c r="V42" s="9"/>
      <c r="W42" s="9"/>
      <c r="X42" s="45"/>
      <c r="Y42" s="45"/>
    </row>
    <row r="43" spans="1:27" s="6" customFormat="1" ht="24.75" customHeight="1">
      <c r="A43" s="2">
        <v>36</v>
      </c>
      <c r="B43" s="8" t="s">
        <v>25</v>
      </c>
      <c r="C43" s="15">
        <f>AVERAGE(G43:M43)</f>
        <v>37.479999999999997</v>
      </c>
      <c r="D43" s="50">
        <v>37.479999999999997</v>
      </c>
      <c r="E43" s="27">
        <f t="shared" si="9"/>
        <v>1</v>
      </c>
      <c r="F43" s="39"/>
      <c r="G43" s="50">
        <v>29.99</v>
      </c>
      <c r="H43" s="50">
        <v>29.9</v>
      </c>
      <c r="I43" s="50">
        <v>29.99</v>
      </c>
      <c r="J43" s="50">
        <v>40</v>
      </c>
      <c r="K43" s="50"/>
      <c r="L43" s="50">
        <v>55</v>
      </c>
      <c r="M43" s="61">
        <v>40</v>
      </c>
      <c r="N43" s="79">
        <f>29.4/1000</f>
        <v>2.9399999999999999E-2</v>
      </c>
      <c r="O43" s="50"/>
      <c r="P43" s="25">
        <f>5/1000</f>
        <v>5.0000000000000001E-3</v>
      </c>
      <c r="Q43" s="81">
        <f>24.5/1000</f>
        <v>2.4500000000000001E-2</v>
      </c>
      <c r="R43" s="25">
        <f t="shared" si="1"/>
        <v>5.8900000000000001E-2</v>
      </c>
      <c r="S43" s="28"/>
      <c r="T43" s="28"/>
      <c r="U43" s="35" t="s">
        <v>63</v>
      </c>
      <c r="V43" s="9"/>
      <c r="W43" s="9"/>
      <c r="X43" s="45"/>
      <c r="Y43" s="45"/>
    </row>
    <row r="44" spans="1:27" s="6" customFormat="1" ht="42" customHeight="1">
      <c r="A44" s="2">
        <v>37</v>
      </c>
      <c r="B44" s="8" t="s">
        <v>26</v>
      </c>
      <c r="C44" s="15">
        <f>AVERAGE(G44:M44)</f>
        <v>45.576000000000001</v>
      </c>
      <c r="D44" s="15">
        <v>48.375999999999998</v>
      </c>
      <c r="E44" s="73">
        <f t="shared" si="9"/>
        <v>0.94212005953365308</v>
      </c>
      <c r="F44" s="39" t="s">
        <v>109</v>
      </c>
      <c r="G44" s="50">
        <v>39.99</v>
      </c>
      <c r="H44" s="75">
        <v>44.9</v>
      </c>
      <c r="I44" s="75">
        <v>42.99</v>
      </c>
      <c r="J44" s="50"/>
      <c r="K44" s="50"/>
      <c r="L44" s="50">
        <v>50</v>
      </c>
      <c r="M44" s="61">
        <v>50</v>
      </c>
      <c r="N44" s="25"/>
      <c r="O44" s="50"/>
      <c r="P44" s="25">
        <f>15/1000</f>
        <v>1.4999999999999999E-2</v>
      </c>
      <c r="Q44" s="81">
        <f>30.2/1000</f>
        <v>3.0199999999999998E-2</v>
      </c>
      <c r="R44" s="25">
        <f t="shared" si="1"/>
        <v>4.5199999999999997E-2</v>
      </c>
      <c r="S44" s="28"/>
      <c r="T44" s="28"/>
      <c r="U44" s="35" t="s">
        <v>63</v>
      </c>
      <c r="V44" s="9"/>
      <c r="W44" s="9"/>
      <c r="X44" s="45"/>
      <c r="Y44" s="45"/>
    </row>
    <row r="45" spans="1:27" ht="30.75" customHeight="1">
      <c r="A45" s="2">
        <v>38</v>
      </c>
      <c r="B45" s="8" t="s">
        <v>34</v>
      </c>
      <c r="C45" s="15">
        <f t="shared" si="10"/>
        <v>2.0649999999999999</v>
      </c>
      <c r="D45" s="15">
        <v>2.3983333333333334</v>
      </c>
      <c r="E45" s="76">
        <f t="shared" si="9"/>
        <v>0.86101459346768583</v>
      </c>
      <c r="F45" s="39" t="s">
        <v>103</v>
      </c>
      <c r="G45" s="50">
        <v>1.99</v>
      </c>
      <c r="H45" s="75">
        <v>2.9</v>
      </c>
      <c r="I45" s="50">
        <v>2</v>
      </c>
      <c r="J45" s="50">
        <v>2</v>
      </c>
      <c r="K45" s="50"/>
      <c r="L45" s="50">
        <v>1.5</v>
      </c>
      <c r="M45" s="50">
        <v>2</v>
      </c>
      <c r="N45" s="80">
        <v>480</v>
      </c>
      <c r="O45" s="50"/>
      <c r="P45" s="55">
        <v>500</v>
      </c>
      <c r="Q45" s="82">
        <v>140</v>
      </c>
      <c r="R45" s="49">
        <f t="shared" si="1"/>
        <v>1120</v>
      </c>
      <c r="S45" s="28"/>
      <c r="T45" s="28"/>
      <c r="U45" s="35" t="s">
        <v>65</v>
      </c>
      <c r="W45" s="43"/>
      <c r="X45" s="47"/>
      <c r="Y45" s="47"/>
      <c r="Z45" s="4"/>
      <c r="AA45" s="4"/>
    </row>
    <row r="46" spans="1:27" ht="24.75" customHeight="1">
      <c r="A46" s="2">
        <v>39</v>
      </c>
      <c r="B46" s="8" t="s">
        <v>31</v>
      </c>
      <c r="C46" s="15">
        <f t="shared" si="10"/>
        <v>28.112500000000001</v>
      </c>
      <c r="D46" s="15">
        <v>28.112500000000001</v>
      </c>
      <c r="E46" s="29">
        <f t="shared" si="9"/>
        <v>1</v>
      </c>
      <c r="F46" s="39"/>
      <c r="G46" s="50">
        <v>26.65</v>
      </c>
      <c r="H46" s="50">
        <v>39.9</v>
      </c>
      <c r="I46" s="50">
        <v>15.9</v>
      </c>
      <c r="J46" s="50">
        <v>30</v>
      </c>
      <c r="K46" s="50"/>
      <c r="L46" s="50"/>
      <c r="M46" s="50"/>
      <c r="N46" s="54">
        <v>10</v>
      </c>
      <c r="O46" s="50"/>
      <c r="P46" s="31"/>
      <c r="Q46" s="50"/>
      <c r="R46" s="49">
        <f t="shared" si="1"/>
        <v>10</v>
      </c>
      <c r="S46" s="28"/>
      <c r="T46" s="28"/>
      <c r="U46" s="35" t="s">
        <v>65</v>
      </c>
    </row>
    <row r="47" spans="1:27" ht="22.5" customHeight="1">
      <c r="A47" s="2">
        <v>40</v>
      </c>
      <c r="B47" s="8" t="s">
        <v>33</v>
      </c>
      <c r="C47" s="15">
        <f t="shared" si="10"/>
        <v>128.98249999999999</v>
      </c>
      <c r="D47" s="15">
        <v>128.98249999999999</v>
      </c>
      <c r="E47" s="29">
        <f t="shared" si="9"/>
        <v>1</v>
      </c>
      <c r="F47" s="39"/>
      <c r="G47" s="50">
        <v>131.22999999999999</v>
      </c>
      <c r="H47" s="50">
        <v>124.75</v>
      </c>
      <c r="I47" s="50">
        <v>139.94999999999999</v>
      </c>
      <c r="J47" s="50">
        <v>120</v>
      </c>
      <c r="K47" s="50"/>
      <c r="L47" s="50"/>
      <c r="M47" s="50"/>
      <c r="N47" s="54">
        <v>12</v>
      </c>
      <c r="O47" s="50"/>
      <c r="P47" s="31"/>
      <c r="Q47" s="50"/>
      <c r="R47" s="49">
        <f t="shared" si="1"/>
        <v>12</v>
      </c>
      <c r="S47" s="28"/>
      <c r="T47" s="28"/>
      <c r="U47" s="35" t="s">
        <v>65</v>
      </c>
    </row>
    <row r="48" spans="1:27" ht="22.5" customHeight="1">
      <c r="A48" s="2">
        <v>41</v>
      </c>
      <c r="B48" s="8" t="s">
        <v>30</v>
      </c>
      <c r="C48" s="15">
        <f t="shared" si="10"/>
        <v>38.803055555555552</v>
      </c>
      <c r="D48" s="15">
        <v>38.803055555555552</v>
      </c>
      <c r="E48" s="23">
        <f t="shared" si="9"/>
        <v>1</v>
      </c>
      <c r="F48" s="39"/>
      <c r="G48" s="50">
        <v>70.540000000000006</v>
      </c>
      <c r="H48" s="50">
        <v>33.222222222222221</v>
      </c>
      <c r="I48" s="50">
        <v>26.45</v>
      </c>
      <c r="J48" s="50">
        <v>25</v>
      </c>
      <c r="K48" s="50"/>
      <c r="L48" s="50"/>
      <c r="M48" s="50"/>
      <c r="N48" s="54">
        <v>5</v>
      </c>
      <c r="O48" s="50"/>
      <c r="P48" s="31"/>
      <c r="Q48" s="50"/>
      <c r="R48" s="49">
        <f t="shared" si="1"/>
        <v>5</v>
      </c>
      <c r="S48" s="28"/>
      <c r="T48" s="28"/>
      <c r="U48" s="35" t="s">
        <v>65</v>
      </c>
    </row>
    <row r="49" spans="1:27" ht="25.5" customHeight="1">
      <c r="A49" s="2">
        <v>42</v>
      </c>
      <c r="B49" s="8" t="s">
        <v>91</v>
      </c>
      <c r="C49" s="15">
        <f t="shared" si="10"/>
        <v>101.14750000000001</v>
      </c>
      <c r="D49" s="15">
        <v>101.14750000000001</v>
      </c>
      <c r="E49" s="29">
        <f t="shared" si="9"/>
        <v>1</v>
      </c>
      <c r="F49" s="39"/>
      <c r="G49" s="50">
        <v>79.790000000000006</v>
      </c>
      <c r="H49" s="50">
        <v>99.9</v>
      </c>
      <c r="I49" s="50">
        <v>79.900000000000006</v>
      </c>
      <c r="J49" s="50">
        <v>145</v>
      </c>
      <c r="K49" s="50"/>
      <c r="L49" s="50"/>
      <c r="M49" s="50"/>
      <c r="N49" s="54">
        <v>9</v>
      </c>
      <c r="O49" s="50"/>
      <c r="P49" s="31"/>
      <c r="Q49" s="50"/>
      <c r="R49" s="49">
        <f t="shared" si="1"/>
        <v>9</v>
      </c>
      <c r="S49" s="28"/>
      <c r="T49" s="28"/>
      <c r="U49" s="35" t="s">
        <v>65</v>
      </c>
    </row>
    <row r="50" spans="1:27" ht="24" customHeight="1">
      <c r="A50" s="2">
        <v>43</v>
      </c>
      <c r="B50" s="8" t="s">
        <v>32</v>
      </c>
      <c r="C50" s="15">
        <f t="shared" si="10"/>
        <v>61.947499999999998</v>
      </c>
      <c r="D50" s="15">
        <v>61.947499999999998</v>
      </c>
      <c r="E50" s="29">
        <f t="shared" si="9"/>
        <v>1</v>
      </c>
      <c r="F50" s="51"/>
      <c r="G50" s="50">
        <v>80.89</v>
      </c>
      <c r="H50" s="50">
        <v>49.9</v>
      </c>
      <c r="I50" s="50">
        <v>42</v>
      </c>
      <c r="J50" s="50">
        <v>75</v>
      </c>
      <c r="K50" s="50"/>
      <c r="L50" s="50"/>
      <c r="M50" s="50"/>
      <c r="N50" s="54">
        <v>3</v>
      </c>
      <c r="O50" s="50"/>
      <c r="P50" s="31"/>
      <c r="Q50" s="50"/>
      <c r="R50" s="49">
        <f t="shared" si="1"/>
        <v>3</v>
      </c>
      <c r="S50" s="28"/>
      <c r="T50" s="28"/>
      <c r="U50" s="35" t="s">
        <v>65</v>
      </c>
    </row>
    <row r="51" spans="1:27" ht="21.75" customHeight="1">
      <c r="A51" s="2">
        <v>44</v>
      </c>
      <c r="B51" s="8" t="s">
        <v>92</v>
      </c>
      <c r="C51" s="15">
        <f t="shared" si="10"/>
        <v>115.565</v>
      </c>
      <c r="D51" s="15">
        <v>115.565</v>
      </c>
      <c r="E51" s="29">
        <f t="shared" si="9"/>
        <v>1</v>
      </c>
      <c r="F51" s="24"/>
      <c r="G51" s="50"/>
      <c r="H51" s="50">
        <v>74.94</v>
      </c>
      <c r="I51" s="50">
        <v>156.19</v>
      </c>
      <c r="J51" s="50"/>
      <c r="K51" s="50"/>
      <c r="L51" s="50"/>
      <c r="M51" s="50"/>
      <c r="N51" s="54"/>
      <c r="O51" s="50"/>
      <c r="P51" s="55"/>
      <c r="Q51" s="55"/>
      <c r="R51" s="49">
        <f t="shared" si="1"/>
        <v>0</v>
      </c>
      <c r="S51" s="28"/>
      <c r="T51" s="28"/>
      <c r="U51" s="35" t="s">
        <v>65</v>
      </c>
      <c r="W51" s="43"/>
      <c r="X51" s="47"/>
      <c r="Y51" s="47"/>
      <c r="Z51" s="4"/>
      <c r="AA51" s="4"/>
    </row>
    <row r="52" spans="1:27" ht="28.5" customHeight="1">
      <c r="A52" s="2">
        <v>45</v>
      </c>
      <c r="B52" s="8" t="s">
        <v>38</v>
      </c>
      <c r="C52" s="15">
        <f>AVERAGE(G52:M52)</f>
        <v>12.577999999999999</v>
      </c>
      <c r="D52" s="15">
        <v>13.093</v>
      </c>
      <c r="E52" s="76">
        <f>C52/D52</f>
        <v>0.96066600473535468</v>
      </c>
      <c r="F52" s="39" t="s">
        <v>103</v>
      </c>
      <c r="G52" s="50">
        <v>8.99</v>
      </c>
      <c r="H52" s="75">
        <v>9.9</v>
      </c>
      <c r="I52" s="50">
        <v>8</v>
      </c>
      <c r="J52" s="50">
        <v>24</v>
      </c>
      <c r="K52" s="50"/>
      <c r="L52" s="50">
        <v>12</v>
      </c>
      <c r="M52" s="50"/>
      <c r="N52" s="80">
        <v>70</v>
      </c>
      <c r="O52" s="50"/>
      <c r="P52" s="55">
        <v>103</v>
      </c>
      <c r="Q52" s="50"/>
      <c r="R52" s="49">
        <f t="shared" si="1"/>
        <v>173</v>
      </c>
      <c r="S52" s="28"/>
      <c r="T52" s="28"/>
      <c r="U52" s="35" t="s">
        <v>65</v>
      </c>
    </row>
    <row r="53" spans="1:27" ht="25.5" customHeight="1">
      <c r="A53" s="2">
        <v>46</v>
      </c>
      <c r="B53" s="8" t="s">
        <v>93</v>
      </c>
      <c r="C53" s="15">
        <f t="shared" si="10"/>
        <v>18.016666666666666</v>
      </c>
      <c r="D53" s="15">
        <v>18.016666666666666</v>
      </c>
      <c r="E53" s="29">
        <f>C53/D53</f>
        <v>1</v>
      </c>
      <c r="F53" s="39"/>
      <c r="G53" s="50">
        <v>17.600000000000001</v>
      </c>
      <c r="H53" s="50">
        <v>19.95</v>
      </c>
      <c r="I53" s="50">
        <v>16.5</v>
      </c>
      <c r="J53" s="50"/>
      <c r="K53" s="50"/>
      <c r="L53" s="50"/>
      <c r="M53" s="50"/>
      <c r="N53" s="54"/>
      <c r="O53" s="50"/>
      <c r="P53" s="55"/>
      <c r="Q53" s="50"/>
      <c r="R53" s="49">
        <f t="shared" si="1"/>
        <v>0</v>
      </c>
      <c r="S53" s="28"/>
      <c r="T53" s="28"/>
      <c r="U53" s="35" t="s">
        <v>65</v>
      </c>
    </row>
    <row r="54" spans="1:27" ht="22.5" customHeight="1">
      <c r="A54" s="2">
        <v>47</v>
      </c>
      <c r="B54" s="8" t="s">
        <v>94</v>
      </c>
      <c r="C54" s="15">
        <f t="shared" si="10"/>
        <v>869.53666666666652</v>
      </c>
      <c r="D54" s="15">
        <v>869.53666666666652</v>
      </c>
      <c r="E54" s="23">
        <f>C54/D54</f>
        <v>1</v>
      </c>
      <c r="F54" s="51"/>
      <c r="G54" s="50">
        <v>1162.48</v>
      </c>
      <c r="H54" s="50">
        <v>571.14</v>
      </c>
      <c r="I54" s="50">
        <v>874.99</v>
      </c>
      <c r="J54" s="50"/>
      <c r="K54" s="50"/>
      <c r="L54" s="50"/>
      <c r="M54" s="61"/>
      <c r="N54" s="54"/>
      <c r="O54" s="50"/>
      <c r="P54" s="54"/>
      <c r="Q54" s="64"/>
      <c r="R54" s="49">
        <f t="shared" si="1"/>
        <v>0</v>
      </c>
      <c r="S54" s="28"/>
      <c r="T54" s="28"/>
      <c r="U54" s="35" t="s">
        <v>65</v>
      </c>
    </row>
    <row r="55" spans="1:27">
      <c r="A55" s="2">
        <v>48</v>
      </c>
      <c r="B55" s="8" t="s">
        <v>95</v>
      </c>
      <c r="C55" s="15">
        <f t="shared" ref="C55:C57" si="11">AVERAGE(G55:M55)</f>
        <v>769.6</v>
      </c>
      <c r="D55" s="15">
        <v>769.6</v>
      </c>
      <c r="E55" s="23">
        <f t="shared" ref="E55:E57" si="12">C55/D55</f>
        <v>1</v>
      </c>
      <c r="F55" s="39"/>
      <c r="G55" s="50">
        <v>759.9</v>
      </c>
      <c r="H55" s="50">
        <v>699</v>
      </c>
      <c r="I55" s="50">
        <v>849.9</v>
      </c>
      <c r="J55" s="50"/>
      <c r="K55" s="50"/>
      <c r="L55" s="50"/>
      <c r="M55" s="50"/>
      <c r="N55" s="54"/>
      <c r="O55" s="50"/>
      <c r="P55" s="55"/>
      <c r="Q55" s="55"/>
      <c r="R55" s="49">
        <f t="shared" si="1"/>
        <v>0</v>
      </c>
      <c r="S55" s="28"/>
      <c r="T55" s="28"/>
      <c r="U55" s="35" t="s">
        <v>65</v>
      </c>
      <c r="W55" s="43"/>
      <c r="X55" s="47"/>
      <c r="Y55" s="47"/>
      <c r="Z55" s="4"/>
      <c r="AA55" s="4"/>
    </row>
    <row r="56" spans="1:27" ht="24.75" customHeight="1">
      <c r="A56" s="2">
        <v>49</v>
      </c>
      <c r="B56" s="8" t="s">
        <v>96</v>
      </c>
      <c r="C56" s="15">
        <f t="shared" si="11"/>
        <v>445.8</v>
      </c>
      <c r="D56" s="15">
        <v>445.8</v>
      </c>
      <c r="E56" s="23">
        <f t="shared" si="12"/>
        <v>1</v>
      </c>
      <c r="F56" s="39"/>
      <c r="G56" s="50">
        <v>439.9</v>
      </c>
      <c r="H56" s="50">
        <v>348.75</v>
      </c>
      <c r="I56" s="50">
        <v>548.75</v>
      </c>
      <c r="J56" s="50"/>
      <c r="K56" s="50"/>
      <c r="L56" s="50"/>
      <c r="M56" s="50"/>
      <c r="N56" s="54"/>
      <c r="O56" s="50"/>
      <c r="P56" s="55"/>
      <c r="Q56" s="55"/>
      <c r="R56" s="49">
        <f t="shared" si="1"/>
        <v>0</v>
      </c>
      <c r="S56" s="28"/>
      <c r="T56" s="28"/>
      <c r="U56" s="35" t="s">
        <v>65</v>
      </c>
      <c r="W56" s="43"/>
      <c r="X56" s="47"/>
      <c r="Y56" s="47"/>
      <c r="Z56" s="4"/>
      <c r="AA56" s="4"/>
    </row>
    <row r="57" spans="1:27" ht="22.5" customHeight="1">
      <c r="A57" s="2">
        <v>50</v>
      </c>
      <c r="B57" s="8" t="s">
        <v>97</v>
      </c>
      <c r="C57" s="15">
        <f t="shared" si="11"/>
        <v>353.76499999999999</v>
      </c>
      <c r="D57" s="15">
        <v>353.76499999999999</v>
      </c>
      <c r="E57" s="23">
        <f t="shared" si="12"/>
        <v>1</v>
      </c>
      <c r="F57" s="39"/>
      <c r="G57" s="50">
        <v>369.9</v>
      </c>
      <c r="H57" s="50">
        <v>365.56</v>
      </c>
      <c r="I57" s="50">
        <v>279.60000000000002</v>
      </c>
      <c r="J57" s="50"/>
      <c r="K57" s="50"/>
      <c r="L57" s="50">
        <v>400</v>
      </c>
      <c r="M57" s="50"/>
      <c r="N57" s="54"/>
      <c r="O57" s="50"/>
      <c r="P57" s="55">
        <v>65</v>
      </c>
      <c r="Q57" s="55"/>
      <c r="R57" s="49">
        <f t="shared" si="1"/>
        <v>65</v>
      </c>
      <c r="S57" s="28"/>
      <c r="T57" s="28"/>
      <c r="U57" s="35" t="s">
        <v>65</v>
      </c>
      <c r="W57" s="43"/>
      <c r="X57" s="47"/>
      <c r="Y57" s="47"/>
      <c r="Z57" s="4"/>
      <c r="AA57" s="4"/>
    </row>
    <row r="58" spans="1:27" ht="24" customHeight="1">
      <c r="A58" s="2">
        <v>51</v>
      </c>
      <c r="B58" s="19" t="s">
        <v>67</v>
      </c>
      <c r="C58" s="15" t="e">
        <f t="shared" ref="C58:C63" si="13">AVERAGE(G58:M58)</f>
        <v>#DIV/0!</v>
      </c>
      <c r="D58" s="15" t="e">
        <v>#DIV/0!</v>
      </c>
      <c r="E58" s="29" t="e">
        <f t="shared" ref="E58:E64" si="14">C58/D58</f>
        <v>#DIV/0!</v>
      </c>
      <c r="F58" s="26"/>
      <c r="G58" s="50"/>
      <c r="H58" s="50"/>
      <c r="I58" s="50"/>
      <c r="J58" s="50"/>
      <c r="K58" s="50"/>
      <c r="L58" s="50"/>
      <c r="M58" s="50"/>
      <c r="N58" s="65"/>
      <c r="O58" s="50"/>
      <c r="P58" s="31"/>
      <c r="Q58" s="50"/>
      <c r="R58" s="49">
        <f t="shared" si="1"/>
        <v>0</v>
      </c>
      <c r="S58" s="28"/>
      <c r="T58" s="28"/>
      <c r="U58" s="35" t="s">
        <v>65</v>
      </c>
    </row>
    <row r="59" spans="1:27" ht="28.5" customHeight="1">
      <c r="A59" s="2">
        <v>52</v>
      </c>
      <c r="B59" s="8" t="s">
        <v>39</v>
      </c>
      <c r="C59" s="15">
        <f t="shared" si="13"/>
        <v>154.92909090909092</v>
      </c>
      <c r="D59" s="15">
        <v>149.59575757575757</v>
      </c>
      <c r="E59" s="76">
        <f t="shared" si="14"/>
        <v>1.0356516349110534</v>
      </c>
      <c r="F59" s="39" t="s">
        <v>102</v>
      </c>
      <c r="G59" s="75">
        <v>175.99</v>
      </c>
      <c r="H59" s="50">
        <v>181.72727272727272</v>
      </c>
      <c r="I59" s="50">
        <v>107.07</v>
      </c>
      <c r="J59" s="50"/>
      <c r="K59" s="50"/>
      <c r="L59" s="50"/>
      <c r="M59" s="50"/>
      <c r="N59" s="54"/>
      <c r="O59" s="50"/>
      <c r="P59" s="31"/>
      <c r="Q59" s="50"/>
      <c r="R59" s="49">
        <f t="shared" si="1"/>
        <v>0</v>
      </c>
      <c r="S59" s="28"/>
      <c r="T59" s="28"/>
      <c r="U59" s="35" t="s">
        <v>65</v>
      </c>
      <c r="W59" s="43"/>
      <c r="X59" s="47"/>
      <c r="Y59" s="47"/>
      <c r="Z59" s="4"/>
      <c r="AA59" s="4"/>
    </row>
    <row r="60" spans="1:27" ht="29.25" customHeight="1">
      <c r="A60" s="2">
        <v>53</v>
      </c>
      <c r="B60" s="8" t="s">
        <v>6</v>
      </c>
      <c r="C60" s="15">
        <f t="shared" si="13"/>
        <v>253.39993177387916</v>
      </c>
      <c r="D60" s="15">
        <v>252.34826510721248</v>
      </c>
      <c r="E60" s="23">
        <f t="shared" si="14"/>
        <v>1.0041675208910981</v>
      </c>
      <c r="F60" s="51"/>
      <c r="G60" s="75">
        <v>243.13</v>
      </c>
      <c r="H60" s="50">
        <v>249.72222222222226</v>
      </c>
      <c r="I60" s="50">
        <v>286.83999999999997</v>
      </c>
      <c r="J60" s="50">
        <v>315.78947368421052</v>
      </c>
      <c r="K60" s="50"/>
      <c r="L60" s="50">
        <v>161.76</v>
      </c>
      <c r="M60" s="61">
        <v>263.15789473684208</v>
      </c>
      <c r="N60" s="25">
        <f>1/1000</f>
        <v>1E-3</v>
      </c>
      <c r="O60" s="50"/>
      <c r="P60" s="25">
        <f>34/1000</f>
        <v>3.4000000000000002E-2</v>
      </c>
      <c r="Q60" s="81">
        <f>24.32/1000</f>
        <v>2.4320000000000001E-2</v>
      </c>
      <c r="R60" s="25">
        <f t="shared" si="1"/>
        <v>5.9320000000000005E-2</v>
      </c>
      <c r="S60" s="28"/>
      <c r="T60" s="28"/>
      <c r="U60" s="35" t="s">
        <v>63</v>
      </c>
    </row>
    <row r="61" spans="1:27" s="3" customFormat="1" ht="23.25" customHeight="1">
      <c r="A61" s="2">
        <v>54</v>
      </c>
      <c r="B61" s="13" t="s">
        <v>7</v>
      </c>
      <c r="C61" s="15">
        <f t="shared" si="13"/>
        <v>783.15750000000003</v>
      </c>
      <c r="D61" s="15">
        <v>783.15750000000003</v>
      </c>
      <c r="E61" s="23">
        <f t="shared" si="14"/>
        <v>1</v>
      </c>
      <c r="F61" s="39"/>
      <c r="G61" s="50">
        <v>766.63</v>
      </c>
      <c r="H61" s="50">
        <v>533</v>
      </c>
      <c r="I61" s="50">
        <v>499.67</v>
      </c>
      <c r="J61" s="50">
        <v>1333.33</v>
      </c>
      <c r="K61" s="50"/>
      <c r="L61" s="50"/>
      <c r="M61" s="61"/>
      <c r="N61" s="66">
        <f>0.36/1000</f>
        <v>3.5999999999999997E-4</v>
      </c>
      <c r="O61" s="50"/>
      <c r="P61" s="54"/>
      <c r="Q61" s="72"/>
      <c r="R61" s="49">
        <f t="shared" si="1"/>
        <v>3.5999999999999997E-4</v>
      </c>
      <c r="S61" s="28"/>
      <c r="T61" s="28"/>
      <c r="U61" s="35" t="s">
        <v>63</v>
      </c>
      <c r="V61" s="42"/>
      <c r="W61" s="42"/>
      <c r="X61" s="46"/>
      <c r="Y61" s="46"/>
    </row>
    <row r="62" spans="1:27" ht="24.75" customHeight="1">
      <c r="A62" s="2">
        <v>55</v>
      </c>
      <c r="B62" s="8" t="s">
        <v>98</v>
      </c>
      <c r="C62" s="15">
        <f>AVERAGE(G62:M62)</f>
        <v>154.07190476190476</v>
      </c>
      <c r="D62" s="15">
        <v>154.07190476190476</v>
      </c>
      <c r="E62" s="23">
        <f t="shared" si="14"/>
        <v>1</v>
      </c>
      <c r="F62" s="24"/>
      <c r="G62" s="50">
        <v>181.99</v>
      </c>
      <c r="H62" s="50">
        <v>114.14</v>
      </c>
      <c r="I62" s="50">
        <v>209.86</v>
      </c>
      <c r="J62" s="50">
        <v>123.19999999999999</v>
      </c>
      <c r="K62" s="50"/>
      <c r="L62" s="50">
        <v>116.67</v>
      </c>
      <c r="M62" s="61">
        <f>510.204081632653*0.35</f>
        <v>178.57142857142856</v>
      </c>
      <c r="N62" s="25">
        <f>3/1000</f>
        <v>3.0000000000000001E-3</v>
      </c>
      <c r="O62" s="50"/>
      <c r="P62" s="25">
        <f>25.7/1000</f>
        <v>2.5700000000000001E-2</v>
      </c>
      <c r="Q62" s="81">
        <f>26.95/1000</f>
        <v>2.6949999999999998E-2</v>
      </c>
      <c r="R62" s="25">
        <f t="shared" si="1"/>
        <v>5.5649999999999998E-2</v>
      </c>
      <c r="S62" s="28"/>
      <c r="T62" s="28"/>
      <c r="U62" s="35" t="s">
        <v>63</v>
      </c>
    </row>
    <row r="63" spans="1:27" ht="27" customHeight="1">
      <c r="A63" s="2">
        <v>56</v>
      </c>
      <c r="B63" s="8" t="s">
        <v>8</v>
      </c>
      <c r="C63" s="15">
        <f t="shared" si="13"/>
        <v>47.964999999999996</v>
      </c>
      <c r="D63" s="15">
        <v>47.964999999999996</v>
      </c>
      <c r="E63" s="23">
        <f t="shared" si="14"/>
        <v>1</v>
      </c>
      <c r="F63" s="39"/>
      <c r="G63" s="50">
        <v>36.99</v>
      </c>
      <c r="H63" s="50">
        <v>44.9</v>
      </c>
      <c r="I63" s="50">
        <v>40.9</v>
      </c>
      <c r="J63" s="50">
        <v>55</v>
      </c>
      <c r="K63" s="50"/>
      <c r="L63" s="50">
        <v>55</v>
      </c>
      <c r="M63" s="61">
        <v>55</v>
      </c>
      <c r="N63" s="80">
        <v>12</v>
      </c>
      <c r="O63" s="50"/>
      <c r="P63" s="54">
        <v>43</v>
      </c>
      <c r="Q63" s="82">
        <v>95</v>
      </c>
      <c r="R63" s="49">
        <f t="shared" si="1"/>
        <v>150</v>
      </c>
      <c r="S63" s="28"/>
      <c r="T63" s="28"/>
      <c r="U63" s="35" t="s">
        <v>66</v>
      </c>
    </row>
    <row r="64" spans="1:27" ht="26.25" customHeight="1">
      <c r="A64" s="2">
        <v>57</v>
      </c>
      <c r="B64" s="8" t="s">
        <v>9</v>
      </c>
      <c r="C64" s="15">
        <f>AVERAGE(G64:M64)</f>
        <v>58.378</v>
      </c>
      <c r="D64" s="15">
        <v>58.631666666666661</v>
      </c>
      <c r="E64" s="27">
        <f t="shared" si="14"/>
        <v>0.99567355524602752</v>
      </c>
      <c r="F64" s="39"/>
      <c r="G64" s="50">
        <v>59.99</v>
      </c>
      <c r="H64" s="78"/>
      <c r="I64" s="50">
        <v>31.9</v>
      </c>
      <c r="J64" s="50">
        <v>80</v>
      </c>
      <c r="K64" s="50"/>
      <c r="L64" s="50">
        <v>70</v>
      </c>
      <c r="M64" s="61">
        <v>50</v>
      </c>
      <c r="N64" s="80">
        <v>12</v>
      </c>
      <c r="O64" s="50"/>
      <c r="P64" s="54">
        <v>20</v>
      </c>
      <c r="Q64" s="82">
        <v>62</v>
      </c>
      <c r="R64" s="49">
        <f t="shared" si="1"/>
        <v>94</v>
      </c>
      <c r="S64" s="28"/>
      <c r="T64" s="28"/>
      <c r="U64" s="35" t="s">
        <v>66</v>
      </c>
    </row>
    <row r="65" spans="1:27" ht="24" customHeight="1">
      <c r="A65" s="2">
        <v>58</v>
      </c>
      <c r="B65" s="8" t="s">
        <v>20</v>
      </c>
      <c r="C65" s="15">
        <f t="shared" ref="C65" si="15">AVERAGE(G65:M65)</f>
        <v>54.256666666666661</v>
      </c>
      <c r="D65" s="15">
        <v>54.256666666666661</v>
      </c>
      <c r="E65" s="23">
        <f t="shared" ref="E65" si="16">C65/D65</f>
        <v>1</v>
      </c>
      <c r="F65" s="39"/>
      <c r="G65" s="50">
        <v>40.78</v>
      </c>
      <c r="H65" s="50">
        <v>74.88</v>
      </c>
      <c r="I65" s="50">
        <v>28.63</v>
      </c>
      <c r="J65" s="50">
        <v>56.25</v>
      </c>
      <c r="K65" s="50"/>
      <c r="L65" s="50">
        <v>100</v>
      </c>
      <c r="M65" s="61">
        <v>25</v>
      </c>
      <c r="N65" s="54">
        <f>4/1000</f>
        <v>4.0000000000000001E-3</v>
      </c>
      <c r="O65" s="50"/>
      <c r="P65" s="25">
        <f>1/1000</f>
        <v>1E-3</v>
      </c>
      <c r="Q65" s="81">
        <f>65/1000</f>
        <v>6.5000000000000002E-2</v>
      </c>
      <c r="R65" s="25">
        <f t="shared" si="1"/>
        <v>7.0000000000000007E-2</v>
      </c>
      <c r="S65" s="28"/>
      <c r="T65" s="28"/>
      <c r="U65" s="35" t="s">
        <v>63</v>
      </c>
    </row>
    <row r="66" spans="1:27" ht="38.25" customHeight="1">
      <c r="A66" s="2">
        <v>59</v>
      </c>
      <c r="B66" s="20" t="s">
        <v>28</v>
      </c>
      <c r="C66" s="15">
        <f t="shared" ref="C66:C71" si="17">AVERAGE(G66:M66)</f>
        <v>26.633333333333336</v>
      </c>
      <c r="D66" s="15">
        <v>26.633333333333336</v>
      </c>
      <c r="E66" s="29">
        <f t="shared" ref="E66:E71" si="18">C66/D66</f>
        <v>1</v>
      </c>
      <c r="F66" s="39"/>
      <c r="G66" s="50">
        <v>25</v>
      </c>
      <c r="H66" s="67"/>
      <c r="I66" s="67">
        <v>29.9</v>
      </c>
      <c r="J66" s="67"/>
      <c r="K66" s="67">
        <v>25</v>
      </c>
      <c r="L66" s="50"/>
      <c r="M66" s="67"/>
      <c r="N66" s="65"/>
      <c r="O66" s="83">
        <v>444</v>
      </c>
      <c r="P66" s="56"/>
      <c r="Q66" s="67"/>
      <c r="R66" s="49">
        <f t="shared" si="1"/>
        <v>444</v>
      </c>
      <c r="S66" s="28"/>
      <c r="T66" s="28"/>
      <c r="U66" s="35" t="s">
        <v>71</v>
      </c>
    </row>
    <row r="67" spans="1:27" ht="24.75" customHeight="1">
      <c r="A67" s="2">
        <v>60</v>
      </c>
      <c r="B67" s="8" t="s">
        <v>29</v>
      </c>
      <c r="C67" s="15">
        <f>AVERAGE(G67:M67)</f>
        <v>112.53</v>
      </c>
      <c r="D67" s="15">
        <v>112.53</v>
      </c>
      <c r="E67" s="29">
        <f t="shared" si="18"/>
        <v>1</v>
      </c>
      <c r="F67" s="24"/>
      <c r="G67" s="50">
        <v>79.989999999999995</v>
      </c>
      <c r="H67" s="62">
        <v>107.07</v>
      </c>
      <c r="I67" s="62">
        <v>169</v>
      </c>
      <c r="J67" s="62"/>
      <c r="K67" s="62">
        <v>94.06</v>
      </c>
      <c r="L67" s="50"/>
      <c r="M67" s="61"/>
      <c r="N67" s="65"/>
      <c r="O67" s="84">
        <v>566</v>
      </c>
      <c r="P67" s="31"/>
      <c r="Q67" s="61"/>
      <c r="R67" s="49">
        <f t="shared" si="1"/>
        <v>566</v>
      </c>
      <c r="S67" s="28"/>
      <c r="T67" s="28"/>
      <c r="U67" s="35" t="s">
        <v>71</v>
      </c>
    </row>
    <row r="68" spans="1:27" ht="21.75" customHeight="1">
      <c r="A68" s="2">
        <v>61</v>
      </c>
      <c r="B68" s="8" t="s">
        <v>37</v>
      </c>
      <c r="C68" s="15">
        <f t="shared" si="17"/>
        <v>57.505555555555553</v>
      </c>
      <c r="D68" s="15">
        <v>57.505555555555553</v>
      </c>
      <c r="E68" s="29">
        <f t="shared" si="18"/>
        <v>1</v>
      </c>
      <c r="F68" s="39"/>
      <c r="G68" s="50">
        <v>58.43</v>
      </c>
      <c r="H68" s="62">
        <v>74.916666666666671</v>
      </c>
      <c r="I68" s="62">
        <v>39.17</v>
      </c>
      <c r="J68" s="62"/>
      <c r="K68" s="62"/>
      <c r="L68" s="50"/>
      <c r="M68" s="61"/>
      <c r="N68" s="54"/>
      <c r="O68" s="61"/>
      <c r="P68" s="31"/>
      <c r="Q68" s="61"/>
      <c r="R68" s="49">
        <f t="shared" si="1"/>
        <v>0</v>
      </c>
      <c r="S68" s="28"/>
      <c r="T68" s="28"/>
      <c r="U68" s="35" t="s">
        <v>71</v>
      </c>
    </row>
    <row r="69" spans="1:27" ht="24" customHeight="1">
      <c r="A69" s="2">
        <v>62</v>
      </c>
      <c r="B69" s="8" t="s">
        <v>40</v>
      </c>
      <c r="C69" s="15">
        <f t="shared" si="17"/>
        <v>24.78</v>
      </c>
      <c r="D69" s="15">
        <v>24.78</v>
      </c>
      <c r="E69" s="29">
        <f t="shared" si="18"/>
        <v>1</v>
      </c>
      <c r="F69" s="39"/>
      <c r="G69" s="50">
        <v>23.5</v>
      </c>
      <c r="H69" s="62">
        <v>39.9</v>
      </c>
      <c r="I69" s="62">
        <v>8</v>
      </c>
      <c r="J69" s="62">
        <v>22.5</v>
      </c>
      <c r="K69" s="62"/>
      <c r="L69" s="50">
        <v>30</v>
      </c>
      <c r="M69" s="61"/>
      <c r="N69" s="80">
        <v>13</v>
      </c>
      <c r="O69" s="61"/>
      <c r="P69" s="55">
        <v>74</v>
      </c>
      <c r="Q69" s="61"/>
      <c r="R69" s="49">
        <f t="shared" si="1"/>
        <v>87</v>
      </c>
      <c r="S69" s="28"/>
      <c r="T69" s="28"/>
      <c r="U69" s="35" t="s">
        <v>71</v>
      </c>
    </row>
    <row r="70" spans="1:27" ht="24.75" customHeight="1">
      <c r="A70" s="2">
        <v>63</v>
      </c>
      <c r="B70" s="8" t="s">
        <v>35</v>
      </c>
      <c r="C70" s="15">
        <f t="shared" si="17"/>
        <v>15.72</v>
      </c>
      <c r="D70" s="15">
        <v>15.72</v>
      </c>
      <c r="E70" s="29">
        <f t="shared" si="18"/>
        <v>1</v>
      </c>
      <c r="F70" s="24"/>
      <c r="G70" s="50"/>
      <c r="H70" s="62">
        <v>15.72</v>
      </c>
      <c r="I70" s="62"/>
      <c r="J70" s="50"/>
      <c r="K70" s="62"/>
      <c r="L70" s="50"/>
      <c r="M70" s="61"/>
      <c r="N70" s="65"/>
      <c r="O70" s="61"/>
      <c r="P70" s="31"/>
      <c r="Q70" s="61"/>
      <c r="R70" s="49">
        <f t="shared" si="1"/>
        <v>0</v>
      </c>
      <c r="S70" s="28"/>
      <c r="T70" s="28"/>
      <c r="U70" s="35" t="s">
        <v>71</v>
      </c>
      <c r="W70" s="43"/>
      <c r="X70" s="47"/>
      <c r="Y70" s="47"/>
      <c r="Z70" s="4"/>
      <c r="AA70" s="4"/>
    </row>
    <row r="71" spans="1:27" ht="24" customHeight="1">
      <c r="A71" s="2">
        <v>64</v>
      </c>
      <c r="B71" s="19" t="s">
        <v>53</v>
      </c>
      <c r="C71" s="15">
        <f t="shared" si="17"/>
        <v>72.463333333333324</v>
      </c>
      <c r="D71" s="15">
        <v>72.463333333333324</v>
      </c>
      <c r="E71" s="29">
        <f t="shared" si="18"/>
        <v>1</v>
      </c>
      <c r="F71" s="24"/>
      <c r="G71" s="50">
        <v>74.989999999999995</v>
      </c>
      <c r="H71" s="50">
        <v>59.9</v>
      </c>
      <c r="I71" s="50">
        <v>82.5</v>
      </c>
      <c r="J71" s="50"/>
      <c r="K71" s="50"/>
      <c r="L71" s="50"/>
      <c r="M71" s="50"/>
      <c r="N71" s="65"/>
      <c r="O71" s="50"/>
      <c r="P71" s="31"/>
      <c r="Q71" s="50"/>
      <c r="R71" s="49">
        <f t="shared" si="1"/>
        <v>0</v>
      </c>
      <c r="S71" s="28"/>
      <c r="T71" s="28"/>
      <c r="U71" s="35" t="s">
        <v>71</v>
      </c>
    </row>
    <row r="72" spans="1:27" ht="26.25" customHeight="1">
      <c r="A72" s="2">
        <v>65</v>
      </c>
      <c r="B72" s="19" t="s">
        <v>52</v>
      </c>
      <c r="C72" s="15">
        <f t="shared" ref="C72:C74" si="19">AVERAGE(G72:M72)</f>
        <v>31.9</v>
      </c>
      <c r="D72" s="15">
        <v>31.9</v>
      </c>
      <c r="E72" s="29">
        <f t="shared" ref="E72:E74" si="20">C72/D72</f>
        <v>1</v>
      </c>
      <c r="F72" s="26"/>
      <c r="G72" s="50"/>
      <c r="H72" s="50"/>
      <c r="I72" s="50">
        <v>31.9</v>
      </c>
      <c r="J72" s="50"/>
      <c r="K72" s="50"/>
      <c r="L72" s="50"/>
      <c r="M72" s="50"/>
      <c r="N72" s="68"/>
      <c r="O72" s="50"/>
      <c r="P72" s="31"/>
      <c r="Q72" s="50"/>
      <c r="R72" s="49">
        <f t="shared" ref="R72:R74" si="21">SUM(N72:Q72)</f>
        <v>0</v>
      </c>
      <c r="S72" s="28"/>
      <c r="T72" s="28"/>
      <c r="U72" s="35" t="s">
        <v>71</v>
      </c>
      <c r="W72" s="43"/>
      <c r="X72" s="47"/>
      <c r="Y72" s="47"/>
      <c r="Z72" s="4"/>
      <c r="AA72" s="4"/>
    </row>
    <row r="73" spans="1:27" ht="21.75" customHeight="1">
      <c r="A73" s="2">
        <v>66</v>
      </c>
      <c r="B73" s="19" t="s">
        <v>54</v>
      </c>
      <c r="C73" s="15">
        <f t="shared" si="19"/>
        <v>139.9</v>
      </c>
      <c r="D73" s="15">
        <v>139.9</v>
      </c>
      <c r="E73" s="29">
        <f t="shared" si="20"/>
        <v>1</v>
      </c>
      <c r="F73" s="26"/>
      <c r="G73" s="50"/>
      <c r="H73" s="50"/>
      <c r="I73" s="50">
        <v>139.9</v>
      </c>
      <c r="J73" s="50"/>
      <c r="K73" s="50"/>
      <c r="L73" s="50"/>
      <c r="M73" s="50"/>
      <c r="N73" s="68"/>
      <c r="O73" s="50"/>
      <c r="P73" s="31"/>
      <c r="Q73" s="50"/>
      <c r="R73" s="49">
        <f t="shared" si="21"/>
        <v>0</v>
      </c>
      <c r="S73" s="28"/>
      <c r="T73" s="28"/>
      <c r="U73" s="35" t="s">
        <v>71</v>
      </c>
      <c r="W73" s="43"/>
      <c r="X73" s="47"/>
      <c r="Y73" s="47"/>
      <c r="Z73" s="4"/>
      <c r="AA73" s="4"/>
    </row>
    <row r="74" spans="1:27" ht="24.75" customHeight="1">
      <c r="A74" s="2">
        <v>67</v>
      </c>
      <c r="B74" s="19" t="s">
        <v>50</v>
      </c>
      <c r="C74" s="15">
        <f t="shared" si="19"/>
        <v>90</v>
      </c>
      <c r="D74" s="15">
        <v>90</v>
      </c>
      <c r="E74" s="29">
        <f t="shared" si="20"/>
        <v>1</v>
      </c>
      <c r="F74" s="26"/>
      <c r="G74" s="50"/>
      <c r="H74" s="62"/>
      <c r="I74" s="62"/>
      <c r="J74" s="62"/>
      <c r="K74" s="61">
        <v>90</v>
      </c>
      <c r="L74" s="50"/>
      <c r="M74" s="61"/>
      <c r="N74" s="68"/>
      <c r="O74" s="82">
        <v>131</v>
      </c>
      <c r="P74" s="31"/>
      <c r="Q74" s="61"/>
      <c r="R74" s="49">
        <f t="shared" si="21"/>
        <v>131</v>
      </c>
      <c r="S74" s="28"/>
      <c r="T74" s="28"/>
      <c r="U74" s="35" t="s">
        <v>65</v>
      </c>
      <c r="W74" s="43"/>
      <c r="X74" s="47"/>
      <c r="Y74" s="47"/>
      <c r="Z74" s="4"/>
      <c r="AA74" s="4"/>
    </row>
    <row r="75" spans="1:27" ht="35.25" hidden="1" customHeight="1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8"/>
      <c r="W75" s="89"/>
      <c r="X75" s="89"/>
      <c r="Y75" s="89"/>
      <c r="Z75" s="89"/>
      <c r="AA75" s="89"/>
    </row>
    <row r="76" spans="1:27" ht="27" hidden="1" customHeight="1">
      <c r="A76" s="102" t="s">
        <v>51</v>
      </c>
      <c r="B76" s="103"/>
      <c r="C76" s="103"/>
      <c r="D76" s="103"/>
      <c r="E76" s="103"/>
      <c r="F76" s="103"/>
      <c r="G76" s="103"/>
      <c r="H76" s="103"/>
      <c r="I76" s="30"/>
      <c r="J76" s="30"/>
      <c r="K76" s="30"/>
      <c r="L76" s="30"/>
      <c r="M76" s="30"/>
      <c r="N76" s="30"/>
      <c r="O76" s="30"/>
      <c r="P76" s="57"/>
      <c r="Q76" s="30"/>
      <c r="R76" s="37"/>
      <c r="S76" s="30"/>
      <c r="T76" s="30"/>
      <c r="U76" s="38"/>
      <c r="W76" s="44"/>
      <c r="X76" s="48"/>
      <c r="Y76" s="48"/>
      <c r="Z76" s="10"/>
      <c r="AA76" s="10"/>
    </row>
    <row r="77" spans="1:27" ht="50.25" hidden="1" customHeight="1">
      <c r="A77" s="100" t="s">
        <v>36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W77" s="44"/>
      <c r="X77" s="48"/>
      <c r="Y77" s="48"/>
      <c r="Z77" s="7"/>
      <c r="AA77" s="7"/>
    </row>
    <row r="78" spans="1:27" ht="28.5" hidden="1" customHeight="1">
      <c r="A78" s="93" t="s">
        <v>101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W78" s="89"/>
      <c r="X78" s="89"/>
      <c r="Y78" s="89"/>
      <c r="Z78" s="89"/>
      <c r="AA78" s="89"/>
    </row>
  </sheetData>
  <mergeCells count="19">
    <mergeCell ref="A78:U78"/>
    <mergeCell ref="W78:AA78"/>
    <mergeCell ref="S4:T4"/>
    <mergeCell ref="U4:U6"/>
    <mergeCell ref="A5:A6"/>
    <mergeCell ref="B5:B6"/>
    <mergeCell ref="C5:C6"/>
    <mergeCell ref="R5:S5"/>
    <mergeCell ref="T5:T6"/>
    <mergeCell ref="D5:D6"/>
    <mergeCell ref="A77:U77"/>
    <mergeCell ref="A76:H76"/>
    <mergeCell ref="N5:Q5"/>
    <mergeCell ref="T1:U2"/>
    <mergeCell ref="A75:U75"/>
    <mergeCell ref="W75:AA75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10.08.20</vt:lpstr>
      <vt:lpstr>'10.08.20'!Область_печати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2020-08-10T05:28:26Z</cp:lastPrinted>
  <dcterms:created xsi:type="dcterms:W3CDTF">2020-02-26T18:00:37Z</dcterms:created>
  <dcterms:modified xsi:type="dcterms:W3CDTF">2020-08-10T06:29:05Z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